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показатели" sheetId="1" r:id="rId1"/>
  </sheets>
  <definedNames>
    <definedName name="_xlnm.Print_Area" localSheetId="0">показатели!$A$2:$AQ$727</definedName>
  </definedNames>
  <calcPr calcId="125725"/>
</workbook>
</file>

<file path=xl/calcChain.xml><?xml version="1.0" encoding="utf-8"?>
<calcChain xmlns="http://schemas.openxmlformats.org/spreadsheetml/2006/main">
  <c r="AQ728" i="1"/>
  <c r="AD757"/>
  <c r="AB757"/>
  <c r="Z757"/>
  <c r="X757"/>
  <c r="R757"/>
  <c r="AD756"/>
  <c r="AB756"/>
  <c r="Z756"/>
  <c r="X756"/>
  <c r="R756"/>
  <c r="AD755"/>
  <c r="R755"/>
  <c r="AD754"/>
  <c r="AB754"/>
  <c r="Z754"/>
  <c r="X754"/>
  <c r="R754"/>
  <c r="AO753"/>
  <c r="AO728" s="1"/>
  <c r="AD753"/>
  <c r="AB753"/>
  <c r="Z753"/>
  <c r="X753"/>
  <c r="R753"/>
  <c r="AD752"/>
  <c r="AB752"/>
  <c r="Z752"/>
  <c r="X752"/>
  <c r="R752"/>
  <c r="AO751"/>
  <c r="AD751"/>
  <c r="AB751"/>
  <c r="Z751"/>
  <c r="X751"/>
  <c r="R751"/>
  <c r="AD750"/>
  <c r="AB750"/>
  <c r="Z750"/>
  <c r="X750"/>
  <c r="R750"/>
  <c r="AD749"/>
  <c r="AB749"/>
  <c r="Z749"/>
  <c r="X749"/>
  <c r="R749"/>
  <c r="AD748"/>
  <c r="AB748"/>
  <c r="Z748"/>
  <c r="X748"/>
  <c r="R748"/>
  <c r="AD747"/>
  <c r="AB747"/>
  <c r="Z747"/>
  <c r="X747"/>
  <c r="R747"/>
  <c r="AD746"/>
  <c r="R746"/>
  <c r="AD745"/>
  <c r="R745"/>
  <c r="AD744"/>
  <c r="AB744"/>
  <c r="Z744"/>
  <c r="X744"/>
  <c r="R744"/>
  <c r="AD743"/>
  <c r="AB743"/>
  <c r="Z743"/>
  <c r="X743"/>
  <c r="R743"/>
  <c r="AD742"/>
  <c r="AB742"/>
  <c r="Z742"/>
  <c r="X742"/>
  <c r="R742"/>
  <c r="AD741"/>
  <c r="AB741"/>
  <c r="Z741"/>
  <c r="X741"/>
  <c r="R741"/>
  <c r="AD740"/>
  <c r="AB740"/>
  <c r="Z740"/>
  <c r="X740"/>
  <c r="R740"/>
  <c r="AD739"/>
  <c r="AB739"/>
  <c r="Z739"/>
  <c r="X739"/>
  <c r="R739"/>
  <c r="AD738"/>
  <c r="AB738"/>
  <c r="Z738"/>
  <c r="X738"/>
  <c r="R738"/>
  <c r="AD737"/>
  <c r="AB737"/>
  <c r="Z737"/>
  <c r="X737"/>
  <c r="R737"/>
  <c r="AD736"/>
  <c r="X736"/>
  <c r="R736"/>
  <c r="AD735"/>
  <c r="AB735"/>
  <c r="Z735"/>
  <c r="X735"/>
  <c r="R735"/>
  <c r="AD734"/>
  <c r="AB734"/>
  <c r="Z734"/>
  <c r="X734"/>
  <c r="R734"/>
  <c r="AD733"/>
  <c r="AB733"/>
  <c r="Z733"/>
  <c r="X733"/>
  <c r="R733"/>
  <c r="AD732"/>
  <c r="AB732"/>
  <c r="Z732"/>
  <c r="X732"/>
  <c r="R732"/>
  <c r="AD731"/>
  <c r="AB731"/>
  <c r="Z731"/>
  <c r="X731"/>
  <c r="R731"/>
  <c r="AD730"/>
  <c r="AB730"/>
  <c r="Z730"/>
  <c r="X730"/>
  <c r="R730"/>
  <c r="AD729"/>
  <c r="AB729"/>
  <c r="Z729"/>
  <c r="X729"/>
  <c r="R729"/>
  <c r="AQ698"/>
  <c r="AO698"/>
  <c r="AD698"/>
  <c r="AB698"/>
  <c r="Z698"/>
  <c r="X698"/>
  <c r="T698"/>
  <c r="R698"/>
  <c r="AQ668"/>
  <c r="AO668"/>
  <c r="R668"/>
  <c r="AQ638"/>
  <c r="AO638"/>
  <c r="AD638"/>
  <c r="AB638"/>
  <c r="Z638"/>
  <c r="X638"/>
  <c r="T638"/>
  <c r="R638"/>
  <c r="AQ578"/>
  <c r="AQ548"/>
  <c r="AP548"/>
  <c r="AB545"/>
  <c r="AB755" s="1"/>
  <c r="AA545"/>
  <c r="Z545"/>
  <c r="Z755" s="1"/>
  <c r="Y545"/>
  <c r="X545"/>
  <c r="X755" s="1"/>
  <c r="W545"/>
  <c r="T545"/>
  <c r="S545"/>
  <c r="AF545" s="1"/>
  <c r="AB541"/>
  <c r="AB746" s="1"/>
  <c r="AA541"/>
  <c r="Z541"/>
  <c r="Z746" s="1"/>
  <c r="Y541"/>
  <c r="X541"/>
  <c r="X746" s="1"/>
  <c r="W541"/>
  <c r="T541"/>
  <c r="S541"/>
  <c r="AF541" s="1"/>
  <c r="AB745"/>
  <c r="AA538"/>
  <c r="Z745"/>
  <c r="Y538"/>
  <c r="X745"/>
  <c r="W538"/>
  <c r="T538"/>
  <c r="AF538"/>
  <c r="AQ538"/>
  <c r="AP538"/>
  <c r="AD538"/>
  <c r="AC538"/>
  <c r="X538"/>
  <c r="S538"/>
  <c r="J538"/>
  <c r="I538"/>
  <c r="F538"/>
  <c r="E538"/>
  <c r="AP537"/>
  <c r="AJ537"/>
  <c r="AI537"/>
  <c r="AG537"/>
  <c r="AP536"/>
  <c r="AJ536"/>
  <c r="AJ533" s="1"/>
  <c r="AI536"/>
  <c r="AI533" s="1"/>
  <c r="AG536"/>
  <c r="AP533"/>
  <c r="AK533"/>
  <c r="AH533"/>
  <c r="AG533"/>
  <c r="AF533"/>
  <c r="AF531" s="1"/>
  <c r="AA533"/>
  <c r="AA531" s="1"/>
  <c r="Y533"/>
  <c r="Y531" s="1"/>
  <c r="AP532"/>
  <c r="AP531" s="1"/>
  <c r="AJ532"/>
  <c r="AJ531" s="1"/>
  <c r="AI532"/>
  <c r="AI531" s="1"/>
  <c r="AK531"/>
  <c r="AH531"/>
  <c r="AG531"/>
  <c r="AQ529"/>
  <c r="AP529"/>
  <c r="AF528"/>
  <c r="AP528" s="1"/>
  <c r="AA528"/>
  <c r="Y528"/>
  <c r="AP527"/>
  <c r="AP526"/>
  <c r="AP525"/>
  <c r="AP524"/>
  <c r="AP523"/>
  <c r="AF522"/>
  <c r="AP522" s="1"/>
  <c r="AB522"/>
  <c r="AA522"/>
  <c r="Z522"/>
  <c r="Y522"/>
  <c r="AP521"/>
  <c r="AP520"/>
  <c r="AP519"/>
  <c r="AP518"/>
  <c r="AP517"/>
  <c r="AP516"/>
  <c r="AF515"/>
  <c r="AP515" s="1"/>
  <c r="AB515"/>
  <c r="AA515"/>
  <c r="Z515"/>
  <c r="Y515"/>
  <c r="AP514"/>
  <c r="AF513"/>
  <c r="AP513" s="1"/>
  <c r="AB513"/>
  <c r="AA513"/>
  <c r="Z513"/>
  <c r="Y513"/>
  <c r="AP512"/>
  <c r="AQ511"/>
  <c r="AJ510"/>
  <c r="AI510"/>
  <c r="AB510"/>
  <c r="AA510"/>
  <c r="Z510"/>
  <c r="AP510" s="1"/>
  <c r="Y510"/>
  <c r="X510"/>
  <c r="W510"/>
  <c r="T510"/>
  <c r="S510"/>
  <c r="AK509"/>
  <c r="AK508" s="1"/>
  <c r="AH509"/>
  <c r="AG509"/>
  <c r="AG508" s="1"/>
  <c r="AB509"/>
  <c r="AA509"/>
  <c r="Z509"/>
  <c r="AP509" s="1"/>
  <c r="Y509"/>
  <c r="X509"/>
  <c r="W509"/>
  <c r="T509"/>
  <c r="S509"/>
  <c r="AB508"/>
  <c r="AA508"/>
  <c r="Z508"/>
  <c r="Y508"/>
  <c r="X508"/>
  <c r="W508"/>
  <c r="T508"/>
  <c r="AD508" s="1"/>
  <c r="S508"/>
  <c r="AF508" s="1"/>
  <c r="AQ478"/>
  <c r="AP478"/>
  <c r="AF478"/>
  <c r="AB478"/>
  <c r="AA478"/>
  <c r="Z478"/>
  <c r="Y478"/>
  <c r="AQ476"/>
  <c r="AP476"/>
  <c r="AQ475"/>
  <c r="AP475"/>
  <c r="AB475"/>
  <c r="AA475"/>
  <c r="Z475"/>
  <c r="Y475"/>
  <c r="X475"/>
  <c r="W475"/>
  <c r="T475"/>
  <c r="S475"/>
  <c r="AF475" s="1"/>
  <c r="AQ474"/>
  <c r="AP474"/>
  <c r="AQ473"/>
  <c r="AP473"/>
  <c r="AB473"/>
  <c r="AA473"/>
  <c r="Z473"/>
  <c r="Y473"/>
  <c r="X473"/>
  <c r="W473"/>
  <c r="T473"/>
  <c r="S473"/>
  <c r="AF473" s="1"/>
  <c r="AP472"/>
  <c r="T472"/>
  <c r="S472"/>
  <c r="AL471"/>
  <c r="S471"/>
  <c r="AQ470"/>
  <c r="AP470"/>
  <c r="AL470"/>
  <c r="AL469"/>
  <c r="AJ468"/>
  <c r="AI468"/>
  <c r="AJ465"/>
  <c r="AI465"/>
  <c r="S465"/>
  <c r="AP465" s="1"/>
  <c r="N465"/>
  <c r="P465" s="1"/>
  <c r="T465" s="1"/>
  <c r="AQ465" s="1"/>
  <c r="AJ463"/>
  <c r="AI463"/>
  <c r="S463"/>
  <c r="N463"/>
  <c r="P463" s="1"/>
  <c r="AJ462"/>
  <c r="AI462"/>
  <c r="S462"/>
  <c r="N462"/>
  <c r="P462" s="1"/>
  <c r="T462" s="1"/>
  <c r="AJ461"/>
  <c r="AI461"/>
  <c r="S461"/>
  <c r="AP461" s="1"/>
  <c r="N461"/>
  <c r="P461" s="1"/>
  <c r="T461" s="1"/>
  <c r="AO458"/>
  <c r="AN458"/>
  <c r="AK458"/>
  <c r="AH458"/>
  <c r="AG458"/>
  <c r="AF458"/>
  <c r="AD458"/>
  <c r="AC458"/>
  <c r="AB458"/>
  <c r="AA458"/>
  <c r="Z458"/>
  <c r="Y458"/>
  <c r="X458"/>
  <c r="W458"/>
  <c r="R458"/>
  <c r="Q458"/>
  <c r="O458"/>
  <c r="L458"/>
  <c r="K458"/>
  <c r="J458"/>
  <c r="I458"/>
  <c r="F458"/>
  <c r="E458"/>
  <c r="AP457"/>
  <c r="AP454"/>
  <c r="AQ453"/>
  <c r="AF453"/>
  <c r="AB453"/>
  <c r="AA453"/>
  <c r="Z453"/>
  <c r="Y453"/>
  <c r="AP452"/>
  <c r="AJ452"/>
  <c r="AI452"/>
  <c r="AP451"/>
  <c r="AJ451"/>
  <c r="AI451"/>
  <c r="AK450"/>
  <c r="AH450"/>
  <c r="AG450"/>
  <c r="AP447"/>
  <c r="AP446"/>
  <c r="AQ444"/>
  <c r="AQ440"/>
  <c r="AP440"/>
  <c r="AF440"/>
  <c r="AB440"/>
  <c r="AA440"/>
  <c r="Z440"/>
  <c r="Y440"/>
  <c r="X440"/>
  <c r="W440"/>
  <c r="AJ438"/>
  <c r="AI438"/>
  <c r="S438"/>
  <c r="AP438" s="1"/>
  <c r="N438"/>
  <c r="M438"/>
  <c r="AJ437"/>
  <c r="AI437"/>
  <c r="S437"/>
  <c r="N437"/>
  <c r="M437"/>
  <c r="AJ436"/>
  <c r="AI436"/>
  <c r="S436"/>
  <c r="AP436" s="1"/>
  <c r="N436"/>
  <c r="M436"/>
  <c r="AP435"/>
  <c r="AJ435"/>
  <c r="AI435"/>
  <c r="AJ433"/>
  <c r="AI433"/>
  <c r="N433"/>
  <c r="M433"/>
  <c r="AP432"/>
  <c r="AJ432"/>
  <c r="AI432"/>
  <c r="AP431"/>
  <c r="AJ431"/>
  <c r="AI431"/>
  <c r="AK430"/>
  <c r="AH430"/>
  <c r="AG430"/>
  <c r="AF430"/>
  <c r="AD430"/>
  <c r="AC430"/>
  <c r="AB430"/>
  <c r="AA430"/>
  <c r="Z430"/>
  <c r="Y430"/>
  <c r="X430"/>
  <c r="W430"/>
  <c r="R430"/>
  <c r="Q430"/>
  <c r="O430"/>
  <c r="L430"/>
  <c r="K430"/>
  <c r="J430"/>
  <c r="I430"/>
  <c r="AJ429"/>
  <c r="AJ428"/>
  <c r="AI428"/>
  <c r="S428"/>
  <c r="AP428" s="1"/>
  <c r="N428"/>
  <c r="M428"/>
  <c r="AJ427"/>
  <c r="AI427"/>
  <c r="S427"/>
  <c r="AP427" s="1"/>
  <c r="N427"/>
  <c r="M427"/>
  <c r="AJ426"/>
  <c r="AI426"/>
  <c r="S426"/>
  <c r="AP426" s="1"/>
  <c r="N426"/>
  <c r="M426"/>
  <c r="AP425"/>
  <c r="AJ425"/>
  <c r="AI425"/>
  <c r="S425"/>
  <c r="N425"/>
  <c r="M425"/>
  <c r="AP424"/>
  <c r="AJ424"/>
  <c r="AI424"/>
  <c r="N424"/>
  <c r="M424"/>
  <c r="AP423"/>
  <c r="AJ423"/>
  <c r="AI423"/>
  <c r="N423"/>
  <c r="M423"/>
  <c r="AQ422"/>
  <c r="AP422"/>
  <c r="AJ422"/>
  <c r="AI422"/>
  <c r="N422"/>
  <c r="M422"/>
  <c r="AJ421"/>
  <c r="AI421"/>
  <c r="S421"/>
  <c r="AP421" s="1"/>
  <c r="N421"/>
  <c r="M421"/>
  <c r="AJ420"/>
  <c r="AI420"/>
  <c r="S420"/>
  <c r="AP420" s="1"/>
  <c r="N420"/>
  <c r="M420"/>
  <c r="AJ419"/>
  <c r="AI419"/>
  <c r="S419"/>
  <c r="N419"/>
  <c r="M419"/>
  <c r="AJ418"/>
  <c r="AI418"/>
  <c r="S418"/>
  <c r="AP418" s="1"/>
  <c r="N418"/>
  <c r="M418"/>
  <c r="AJ417"/>
  <c r="AI417"/>
  <c r="S417"/>
  <c r="AP417" s="1"/>
  <c r="N417"/>
  <c r="M417"/>
  <c r="AJ416"/>
  <c r="AI416"/>
  <c r="S416"/>
  <c r="AP416" s="1"/>
  <c r="N416"/>
  <c r="M416"/>
  <c r="AP414"/>
  <c r="AJ414"/>
  <c r="AI414"/>
  <c r="AQ413"/>
  <c r="AP413"/>
  <c r="AJ412"/>
  <c r="AI412"/>
  <c r="S412"/>
  <c r="AP412" s="1"/>
  <c r="N412"/>
  <c r="M412"/>
  <c r="AO411"/>
  <c r="AN411"/>
  <c r="AK411"/>
  <c r="AH411"/>
  <c r="AG411"/>
  <c r="AF411"/>
  <c r="AD411"/>
  <c r="AC411"/>
  <c r="AB411"/>
  <c r="AA411"/>
  <c r="Z411"/>
  <c r="Y411"/>
  <c r="X411"/>
  <c r="W411"/>
  <c r="R411"/>
  <c r="Q411"/>
  <c r="O411"/>
  <c r="L411"/>
  <c r="K411"/>
  <c r="J411"/>
  <c r="I411"/>
  <c r="F411"/>
  <c r="E411"/>
  <c r="AP410"/>
  <c r="AP409"/>
  <c r="AP408"/>
  <c r="AP407"/>
  <c r="AP406"/>
  <c r="AQ405"/>
  <c r="AF405"/>
  <c r="AB405"/>
  <c r="AA405"/>
  <c r="Z405"/>
  <c r="Y405"/>
  <c r="AJ404"/>
  <c r="AI404"/>
  <c r="AP403"/>
  <c r="AJ403"/>
  <c r="AI403"/>
  <c r="AP402"/>
  <c r="AJ402"/>
  <c r="AI402"/>
  <c r="AP401"/>
  <c r="AJ401"/>
  <c r="AI401"/>
  <c r="AP399"/>
  <c r="AJ399"/>
  <c r="AI399"/>
  <c r="AF398"/>
  <c r="AB398"/>
  <c r="AA398"/>
  <c r="Z398"/>
  <c r="Y398"/>
  <c r="AH397"/>
  <c r="AJ397" s="1"/>
  <c r="AG397"/>
  <c r="AF397"/>
  <c r="AP397" s="1"/>
  <c r="AH396"/>
  <c r="AI396" s="1"/>
  <c r="AG396"/>
  <c r="AF396"/>
  <c r="AP396" s="1"/>
  <c r="AH395"/>
  <c r="AI395" s="1"/>
  <c r="AG395"/>
  <c r="AF395"/>
  <c r="AP395" s="1"/>
  <c r="AH394"/>
  <c r="AJ394" s="1"/>
  <c r="AG394"/>
  <c r="AF394"/>
  <c r="AA394"/>
  <c r="Y394"/>
  <c r="S394"/>
  <c r="N394"/>
  <c r="M394"/>
  <c r="AP393"/>
  <c r="AJ393"/>
  <c r="AI393"/>
  <c r="T393"/>
  <c r="S393"/>
  <c r="N393"/>
  <c r="M393"/>
  <c r="AP392"/>
  <c r="AJ392"/>
  <c r="AI392"/>
  <c r="S392"/>
  <c r="N392"/>
  <c r="M392"/>
  <c r="AH391"/>
  <c r="AI391" s="1"/>
  <c r="AG391"/>
  <c r="AF391"/>
  <c r="AP391" s="1"/>
  <c r="AP390"/>
  <c r="AJ390"/>
  <c r="AI390"/>
  <c r="AP389"/>
  <c r="AH389"/>
  <c r="AI389" s="1"/>
  <c r="AG389"/>
  <c r="AD389"/>
  <c r="AC389"/>
  <c r="AP388"/>
  <c r="AJ388"/>
  <c r="AI388"/>
  <c r="AD388"/>
  <c r="AC388"/>
  <c r="AP387"/>
  <c r="AJ387"/>
  <c r="AI387"/>
  <c r="AP386"/>
  <c r="AJ386"/>
  <c r="AI386"/>
  <c r="AK385"/>
  <c r="AH385"/>
  <c r="AJ385" s="1"/>
  <c r="AG385"/>
  <c r="AF385"/>
  <c r="S385"/>
  <c r="N385"/>
  <c r="M385"/>
  <c r="AP384"/>
  <c r="AJ384"/>
  <c r="AI384"/>
  <c r="AH383"/>
  <c r="AI383" s="1"/>
  <c r="AG383"/>
  <c r="AF383"/>
  <c r="AP383" s="1"/>
  <c r="AD383"/>
  <c r="AC383"/>
  <c r="AK382"/>
  <c r="AH382"/>
  <c r="AJ382" s="1"/>
  <c r="AG382"/>
  <c r="AF382"/>
  <c r="AP382" s="1"/>
  <c r="AA382"/>
  <c r="Y382"/>
  <c r="AB381"/>
  <c r="Z381"/>
  <c r="X381"/>
  <c r="W381"/>
  <c r="J381"/>
  <c r="I381"/>
  <c r="F381"/>
  <c r="E381"/>
  <c r="AJ379"/>
  <c r="AK379"/>
  <c r="AH379"/>
  <c r="AG379"/>
  <c r="AP378"/>
  <c r="AJ378"/>
  <c r="AI378"/>
  <c r="AP377"/>
  <c r="AJ377"/>
  <c r="AI377"/>
  <c r="AJ376"/>
  <c r="AI376"/>
  <c r="AP375"/>
  <c r="AJ375"/>
  <c r="AI375"/>
  <c r="AK374"/>
  <c r="AH374"/>
  <c r="AG374"/>
  <c r="AF374"/>
  <c r="AD374"/>
  <c r="AC374"/>
  <c r="AB374"/>
  <c r="AA374"/>
  <c r="Z374"/>
  <c r="Y374"/>
  <c r="X374"/>
  <c r="W374"/>
  <c r="T374"/>
  <c r="S374"/>
  <c r="J374"/>
  <c r="I374"/>
  <c r="F374"/>
  <c r="E374"/>
  <c r="AQ373"/>
  <c r="AP373"/>
  <c r="AQ372"/>
  <c r="AP372"/>
  <c r="AP371"/>
  <c r="T369"/>
  <c r="AQ369" s="1"/>
  <c r="S369"/>
  <c r="AP369" s="1"/>
  <c r="AF368"/>
  <c r="AD368"/>
  <c r="AC368"/>
  <c r="AB368"/>
  <c r="AA368"/>
  <c r="Z368"/>
  <c r="Y368"/>
  <c r="X368"/>
  <c r="W368"/>
  <c r="J368"/>
  <c r="I368"/>
  <c r="AJ367"/>
  <c r="AI367"/>
  <c r="N367"/>
  <c r="M367"/>
  <c r="AJ366"/>
  <c r="AI366"/>
  <c r="S366"/>
  <c r="AP366" s="1"/>
  <c r="N366"/>
  <c r="M366"/>
  <c r="AJ365"/>
  <c r="AI365"/>
  <c r="N365"/>
  <c r="M365"/>
  <c r="AQ364"/>
  <c r="AJ364"/>
  <c r="AI364"/>
  <c r="S364"/>
  <c r="AP364" s="1"/>
  <c r="N364"/>
  <c r="M364"/>
  <c r="AJ363"/>
  <c r="AI363"/>
  <c r="S363"/>
  <c r="AP363" s="1"/>
  <c r="N363"/>
  <c r="M363"/>
  <c r="AJ362"/>
  <c r="AI362"/>
  <c r="S362"/>
  <c r="AP362" s="1"/>
  <c r="N362"/>
  <c r="M362"/>
  <c r="AJ361"/>
  <c r="AI361"/>
  <c r="S361"/>
  <c r="N361"/>
  <c r="M361"/>
  <c r="AJ360"/>
  <c r="AI360"/>
  <c r="S360"/>
  <c r="AP360" s="1"/>
  <c r="N360"/>
  <c r="M360"/>
  <c r="AJ359"/>
  <c r="AI359"/>
  <c r="S359"/>
  <c r="AP359" s="1"/>
  <c r="N359"/>
  <c r="M359"/>
  <c r="AJ358"/>
  <c r="AI358"/>
  <c r="N358"/>
  <c r="M358"/>
  <c r="AJ357"/>
  <c r="AI357"/>
  <c r="S357"/>
  <c r="AP357" s="1"/>
  <c r="N357"/>
  <c r="M357"/>
  <c r="AJ356"/>
  <c r="AI356"/>
  <c r="S356"/>
  <c r="AP356" s="1"/>
  <c r="N356"/>
  <c r="M356"/>
  <c r="AJ355"/>
  <c r="AI355"/>
  <c r="S355"/>
  <c r="AP355" s="1"/>
  <c r="N355"/>
  <c r="M355"/>
  <c r="AQ354"/>
  <c r="AP354"/>
  <c r="AJ354"/>
  <c r="AI354"/>
  <c r="N354"/>
  <c r="M354"/>
  <c r="AO353"/>
  <c r="AN353"/>
  <c r="AK353"/>
  <c r="AH353"/>
  <c r="AG353"/>
  <c r="AF353"/>
  <c r="AD353"/>
  <c r="AC353"/>
  <c r="AB353"/>
  <c r="AA353"/>
  <c r="Z353"/>
  <c r="Y353"/>
  <c r="X353"/>
  <c r="W353"/>
  <c r="R353"/>
  <c r="Q353"/>
  <c r="O353"/>
  <c r="L353"/>
  <c r="K353"/>
  <c r="J353"/>
  <c r="I353"/>
  <c r="F353"/>
  <c r="E353"/>
  <c r="AJ352"/>
  <c r="AI352"/>
  <c r="S352"/>
  <c r="AP352" s="1"/>
  <c r="L352"/>
  <c r="M352" s="1"/>
  <c r="K352"/>
  <c r="AJ351"/>
  <c r="AI351"/>
  <c r="S351"/>
  <c r="AP351" s="1"/>
  <c r="L351"/>
  <c r="M351" s="1"/>
  <c r="K351"/>
  <c r="AJ350"/>
  <c r="AI350"/>
  <c r="S350"/>
  <c r="AP350" s="1"/>
  <c r="N350"/>
  <c r="M350"/>
  <c r="AJ349"/>
  <c r="AI349"/>
  <c r="S349"/>
  <c r="AP349" s="1"/>
  <c r="N349"/>
  <c r="M349"/>
  <c r="AP348"/>
  <c r="AJ348"/>
  <c r="AI348"/>
  <c r="AJ347"/>
  <c r="AI347"/>
  <c r="S347"/>
  <c r="AP347" s="1"/>
  <c r="N347"/>
  <c r="M347"/>
  <c r="AJ346"/>
  <c r="AI346"/>
  <c r="S346"/>
  <c r="AP346" s="1"/>
  <c r="N346"/>
  <c r="M346"/>
  <c r="AJ345"/>
  <c r="AI345"/>
  <c r="S345"/>
  <c r="AP345" s="1"/>
  <c r="N345"/>
  <c r="M345"/>
  <c r="AJ344"/>
  <c r="AI344"/>
  <c r="S344"/>
  <c r="AP344" s="1"/>
  <c r="N344"/>
  <c r="M344"/>
  <c r="AJ343"/>
  <c r="AI343"/>
  <c r="S343"/>
  <c r="AP343" s="1"/>
  <c r="N343"/>
  <c r="M343"/>
  <c r="AJ342"/>
  <c r="AI342"/>
  <c r="S342"/>
  <c r="AP342" s="1"/>
  <c r="N342"/>
  <c r="M342"/>
  <c r="AJ341"/>
  <c r="AI341"/>
  <c r="S341"/>
  <c r="AP341" s="1"/>
  <c r="N341"/>
  <c r="M341"/>
  <c r="AO340"/>
  <c r="AN340"/>
  <c r="AK340"/>
  <c r="AH340"/>
  <c r="AG340"/>
  <c r="AF340"/>
  <c r="AD340"/>
  <c r="AC340"/>
  <c r="AB340"/>
  <c r="AA340"/>
  <c r="Z340"/>
  <c r="Y340"/>
  <c r="X340"/>
  <c r="W340"/>
  <c r="R340"/>
  <c r="Q340"/>
  <c r="O340"/>
  <c r="J340"/>
  <c r="I340"/>
  <c r="F340"/>
  <c r="E340"/>
  <c r="AP339"/>
  <c r="AJ339"/>
  <c r="AI339"/>
  <c r="AJ338"/>
  <c r="AJ337" s="1"/>
  <c r="AI338"/>
  <c r="S338"/>
  <c r="AP338" s="1"/>
  <c r="N338"/>
  <c r="M338"/>
  <c r="AK337"/>
  <c r="AH337"/>
  <c r="AG337"/>
  <c r="AF337"/>
  <c r="AD337"/>
  <c r="AB337"/>
  <c r="AA337"/>
  <c r="Z337"/>
  <c r="Y337"/>
  <c r="X337"/>
  <c r="AK336"/>
  <c r="AH336"/>
  <c r="AI336" s="1"/>
  <c r="AG336"/>
  <c r="AF336"/>
  <c r="AP336" s="1"/>
  <c r="AK335"/>
  <c r="AH335"/>
  <c r="AI335" s="1"/>
  <c r="AG335"/>
  <c r="AF335"/>
  <c r="AP335" s="1"/>
  <c r="AK334"/>
  <c r="AH334"/>
  <c r="AI334" s="1"/>
  <c r="AG334"/>
  <c r="AF334"/>
  <c r="AP334" s="1"/>
  <c r="AK333"/>
  <c r="AH333"/>
  <c r="AI333" s="1"/>
  <c r="AG333"/>
  <c r="AF333"/>
  <c r="AP333" s="1"/>
  <c r="AK332"/>
  <c r="AH332"/>
  <c r="AI332" s="1"/>
  <c r="AG332"/>
  <c r="AF332"/>
  <c r="AP332" s="1"/>
  <c r="AL331"/>
  <c r="S331"/>
  <c r="AP331" s="1"/>
  <c r="N331"/>
  <c r="N330" s="1"/>
  <c r="M331"/>
  <c r="M330" s="1"/>
  <c r="AO330"/>
  <c r="AN330"/>
  <c r="AD330"/>
  <c r="AC330"/>
  <c r="AB330"/>
  <c r="AA330"/>
  <c r="Z330"/>
  <c r="Y330"/>
  <c r="X330"/>
  <c r="W330"/>
  <c r="R330"/>
  <c r="Q330"/>
  <c r="O330"/>
  <c r="L330"/>
  <c r="K330"/>
  <c r="AJ329"/>
  <c r="AI329"/>
  <c r="S329"/>
  <c r="AP329" s="1"/>
  <c r="N329"/>
  <c r="M329"/>
  <c r="AK328"/>
  <c r="AK319" s="1"/>
  <c r="AH328"/>
  <c r="AJ328" s="1"/>
  <c r="AG328"/>
  <c r="AF328"/>
  <c r="AP328" s="1"/>
  <c r="AJ327"/>
  <c r="AI327"/>
  <c r="S327"/>
  <c r="AP327" s="1"/>
  <c r="N327"/>
  <c r="M327"/>
  <c r="AP326"/>
  <c r="AJ326"/>
  <c r="AI326"/>
  <c r="S326"/>
  <c r="N326"/>
  <c r="M326"/>
  <c r="AP325"/>
  <c r="AJ325"/>
  <c r="AI325"/>
  <c r="S325"/>
  <c r="N325"/>
  <c r="M325"/>
  <c r="AJ324"/>
  <c r="AI324"/>
  <c r="S324"/>
  <c r="AP324" s="1"/>
  <c r="N324"/>
  <c r="M324"/>
  <c r="AJ323"/>
  <c r="AI323"/>
  <c r="S323"/>
  <c r="AP323" s="1"/>
  <c r="N323"/>
  <c r="M323"/>
  <c r="AJ322"/>
  <c r="AI322"/>
  <c r="S322"/>
  <c r="AP322" s="1"/>
  <c r="N322"/>
  <c r="M322"/>
  <c r="AP321"/>
  <c r="AH321"/>
  <c r="AI321" s="1"/>
  <c r="AG321"/>
  <c r="AB321"/>
  <c r="Z321"/>
  <c r="AP320"/>
  <c r="AJ320"/>
  <c r="AI320"/>
  <c r="AB320"/>
  <c r="Z320"/>
  <c r="AO319"/>
  <c r="AN319"/>
  <c r="AD319"/>
  <c r="AC319"/>
  <c r="AA319"/>
  <c r="Y319"/>
  <c r="X319"/>
  <c r="W319"/>
  <c r="R319"/>
  <c r="Q319"/>
  <c r="O319"/>
  <c r="L319"/>
  <c r="K319"/>
  <c r="J319"/>
  <c r="I319"/>
  <c r="F319"/>
  <c r="E319"/>
  <c r="AJ318"/>
  <c r="AI318"/>
  <c r="S318"/>
  <c r="AP318" s="1"/>
  <c r="N318"/>
  <c r="M318"/>
  <c r="AJ317"/>
  <c r="AI317"/>
  <c r="S317"/>
  <c r="AP317" s="1"/>
  <c r="N317"/>
  <c r="M317"/>
  <c r="AJ316"/>
  <c r="AI316"/>
  <c r="S316"/>
  <c r="AP316" s="1"/>
  <c r="N316"/>
  <c r="M316"/>
  <c r="AJ315"/>
  <c r="AI315"/>
  <c r="S315"/>
  <c r="AP315" s="1"/>
  <c r="N315"/>
  <c r="M315"/>
  <c r="AJ314"/>
  <c r="AI314"/>
  <c r="S314"/>
  <c r="AP314" s="1"/>
  <c r="O314"/>
  <c r="O310" s="1"/>
  <c r="L314"/>
  <c r="N314" s="1"/>
  <c r="AJ313"/>
  <c r="AI313"/>
  <c r="AB313"/>
  <c r="AB736" s="1"/>
  <c r="AA313"/>
  <c r="Z313"/>
  <c r="Z736" s="1"/>
  <c r="Y313"/>
  <c r="Y310" s="1"/>
  <c r="S313"/>
  <c r="AP313" s="1"/>
  <c r="N313"/>
  <c r="M313"/>
  <c r="AP312"/>
  <c r="AJ312"/>
  <c r="AI312"/>
  <c r="T312"/>
  <c r="S312"/>
  <c r="N312"/>
  <c r="M312"/>
  <c r="AJ311"/>
  <c r="AI311"/>
  <c r="S311"/>
  <c r="AP311" s="1"/>
  <c r="N311"/>
  <c r="M311"/>
  <c r="AK310"/>
  <c r="AH310"/>
  <c r="AG310"/>
  <c r="AF310"/>
  <c r="AD310"/>
  <c r="AC310"/>
  <c r="AA310"/>
  <c r="X310"/>
  <c r="W310"/>
  <c r="K310"/>
  <c r="J310"/>
  <c r="I310"/>
  <c r="F310"/>
  <c r="E310"/>
  <c r="AP309"/>
  <c r="AP308"/>
  <c r="AP307"/>
  <c r="AP306"/>
  <c r="AP305"/>
  <c r="AP304"/>
  <c r="AP303"/>
  <c r="AP302"/>
  <c r="AQ301"/>
  <c r="AF301"/>
  <c r="AD301"/>
  <c r="AC301"/>
  <c r="AB301"/>
  <c r="AA301"/>
  <c r="Z301"/>
  <c r="Y301"/>
  <c r="X301"/>
  <c r="W301"/>
  <c r="T301"/>
  <c r="S301"/>
  <c r="J301"/>
  <c r="I301"/>
  <c r="F301"/>
  <c r="E301"/>
  <c r="AJ300"/>
  <c r="AI300"/>
  <c r="N300"/>
  <c r="M300"/>
  <c r="AJ299"/>
  <c r="AI299"/>
  <c r="N299"/>
  <c r="M299"/>
  <c r="AJ298"/>
  <c r="AI298"/>
  <c r="N298"/>
  <c r="M298"/>
  <c r="AJ297"/>
  <c r="AI297"/>
  <c r="U297"/>
  <c r="N297"/>
  <c r="M297"/>
  <c r="I297"/>
  <c r="AJ296"/>
  <c r="AI296"/>
  <c r="U296"/>
  <c r="N296"/>
  <c r="M296"/>
  <c r="I296"/>
  <c r="AJ295"/>
  <c r="AI295"/>
  <c r="U295"/>
  <c r="N295"/>
  <c r="M295"/>
  <c r="I295"/>
  <c r="AJ294"/>
  <c r="AI294"/>
  <c r="U294"/>
  <c r="N294"/>
  <c r="M294"/>
  <c r="I294"/>
  <c r="AJ293"/>
  <c r="AI293"/>
  <c r="U293"/>
  <c r="N293"/>
  <c r="M293"/>
  <c r="I293"/>
  <c r="AJ292"/>
  <c r="AI292"/>
  <c r="U292"/>
  <c r="N292"/>
  <c r="M292"/>
  <c r="I292"/>
  <c r="AJ291"/>
  <c r="AI291"/>
  <c r="U291"/>
  <c r="N291"/>
  <c r="M291"/>
  <c r="I291"/>
  <c r="AQ290"/>
  <c r="AJ290"/>
  <c r="AI290"/>
  <c r="N290"/>
  <c r="M290"/>
  <c r="I290"/>
  <c r="AJ289"/>
  <c r="AI289"/>
  <c r="N289"/>
  <c r="M289"/>
  <c r="I289"/>
  <c r="AJ288"/>
  <c r="AI288"/>
  <c r="N288"/>
  <c r="M288"/>
  <c r="I288"/>
  <c r="AJ287"/>
  <c r="AI287"/>
  <c r="U287"/>
  <c r="N287"/>
  <c r="M287"/>
  <c r="I287"/>
  <c r="AJ286"/>
  <c r="AI286"/>
  <c r="U286"/>
  <c r="N286"/>
  <c r="M286"/>
  <c r="I286"/>
  <c r="AJ285"/>
  <c r="AI285"/>
  <c r="U285"/>
  <c r="N285"/>
  <c r="M285"/>
  <c r="I285"/>
  <c r="AJ284"/>
  <c r="AI284"/>
  <c r="U284"/>
  <c r="N284"/>
  <c r="M284"/>
  <c r="I284"/>
  <c r="AJ283"/>
  <c r="AI283"/>
  <c r="U283"/>
  <c r="N283"/>
  <c r="M283"/>
  <c r="I283"/>
  <c r="AJ282"/>
  <c r="AI282"/>
  <c r="U282"/>
  <c r="N282"/>
  <c r="M282"/>
  <c r="I282"/>
  <c r="AJ281"/>
  <c r="AI281"/>
  <c r="U281"/>
  <c r="N281"/>
  <c r="M281"/>
  <c r="I281"/>
  <c r="AJ280"/>
  <c r="AI280"/>
  <c r="U280"/>
  <c r="N280"/>
  <c r="M280"/>
  <c r="I280"/>
  <c r="AQ279"/>
  <c r="AJ279"/>
  <c r="AI279"/>
  <c r="U279"/>
  <c r="N279"/>
  <c r="M279"/>
  <c r="I279"/>
  <c r="AJ278"/>
  <c r="AI278"/>
  <c r="U278"/>
  <c r="N278"/>
  <c r="M278"/>
  <c r="I278"/>
  <c r="AJ277"/>
  <c r="AI277"/>
  <c r="U277"/>
  <c r="N277"/>
  <c r="M277"/>
  <c r="I277"/>
  <c r="AJ276"/>
  <c r="AI276"/>
  <c r="N276"/>
  <c r="M276"/>
  <c r="I276"/>
  <c r="AJ275"/>
  <c r="AI275"/>
  <c r="U275"/>
  <c r="N275"/>
  <c r="M275"/>
  <c r="I275"/>
  <c r="AJ274"/>
  <c r="AI274"/>
  <c r="U274"/>
  <c r="N274"/>
  <c r="M274"/>
  <c r="I274"/>
  <c r="AJ273"/>
  <c r="AI273"/>
  <c r="U273"/>
  <c r="N273"/>
  <c r="M273"/>
  <c r="I273"/>
  <c r="AJ272"/>
  <c r="AI272"/>
  <c r="U272"/>
  <c r="N272"/>
  <c r="M272"/>
  <c r="I272"/>
  <c r="AP271"/>
  <c r="AO271"/>
  <c r="AN271"/>
  <c r="AK271"/>
  <c r="AH271"/>
  <c r="AG271"/>
  <c r="AF271"/>
  <c r="AD271"/>
  <c r="AC271"/>
  <c r="AB271"/>
  <c r="AA271"/>
  <c r="Z271"/>
  <c r="Y271"/>
  <c r="X271"/>
  <c r="W271"/>
  <c r="S271"/>
  <c r="R271"/>
  <c r="Q271"/>
  <c r="O271"/>
  <c r="L271"/>
  <c r="K271"/>
  <c r="J271"/>
  <c r="F271"/>
  <c r="E271"/>
  <c r="AJ270"/>
  <c r="AI270"/>
  <c r="S270"/>
  <c r="AP270" s="1"/>
  <c r="N270"/>
  <c r="M270"/>
  <c r="AJ269"/>
  <c r="AI269"/>
  <c r="S269"/>
  <c r="N269"/>
  <c r="M269"/>
  <c r="AJ268"/>
  <c r="AI268"/>
  <c r="S268"/>
  <c r="AP268" s="1"/>
  <c r="N268"/>
  <c r="M268"/>
  <c r="AJ267"/>
  <c r="AI267"/>
  <c r="AP266"/>
  <c r="AJ266"/>
  <c r="AI266"/>
  <c r="AJ265"/>
  <c r="AI265"/>
  <c r="S265"/>
  <c r="N265"/>
  <c r="M265"/>
  <c r="AP264"/>
  <c r="AJ264"/>
  <c r="AI264"/>
  <c r="AL263"/>
  <c r="S263"/>
  <c r="AP263" s="1"/>
  <c r="N263"/>
  <c r="M263"/>
  <c r="AP262"/>
  <c r="AJ262"/>
  <c r="AI262"/>
  <c r="AJ261"/>
  <c r="AI261"/>
  <c r="AP259"/>
  <c r="AJ259"/>
  <c r="AI259"/>
  <c r="AJ258"/>
  <c r="AI258"/>
  <c r="S258"/>
  <c r="AP258" s="1"/>
  <c r="N258"/>
  <c r="M258"/>
  <c r="AO257"/>
  <c r="AN257"/>
  <c r="AK257"/>
  <c r="AH257"/>
  <c r="AG257"/>
  <c r="AF257"/>
  <c r="AD257"/>
  <c r="AC257"/>
  <c r="AB257"/>
  <c r="AA257"/>
  <c r="Z257"/>
  <c r="Y257"/>
  <c r="X257"/>
  <c r="W257"/>
  <c r="R257"/>
  <c r="Q257"/>
  <c r="O257"/>
  <c r="L257"/>
  <c r="K257"/>
  <c r="J257"/>
  <c r="I257"/>
  <c r="F257"/>
  <c r="E257"/>
  <c r="AP256"/>
  <c r="AJ256"/>
  <c r="AI256"/>
  <c r="AP255"/>
  <c r="AJ255"/>
  <c r="AI255"/>
  <c r="AJ254"/>
  <c r="AI254"/>
  <c r="AJ253"/>
  <c r="AI253"/>
  <c r="AP252"/>
  <c r="AJ252"/>
  <c r="AI252"/>
  <c r="AP251"/>
  <c r="AJ251"/>
  <c r="AI251"/>
  <c r="AP250"/>
  <c r="AJ250"/>
  <c r="AI250"/>
  <c r="AP249"/>
  <c r="AJ249"/>
  <c r="AI249"/>
  <c r="AJ248"/>
  <c r="AI248"/>
  <c r="S248"/>
  <c r="N248"/>
  <c r="M248"/>
  <c r="AJ247"/>
  <c r="AI247"/>
  <c r="S247"/>
  <c r="N247"/>
  <c r="M247"/>
  <c r="AJ246"/>
  <c r="AI246"/>
  <c r="S246"/>
  <c r="AP246" s="1"/>
  <c r="N246"/>
  <c r="M246"/>
  <c r="AJ245"/>
  <c r="AI245"/>
  <c r="AJ244"/>
  <c r="AI244"/>
  <c r="S244"/>
  <c r="AP244" s="1"/>
  <c r="N244"/>
  <c r="M244"/>
  <c r="AK243"/>
  <c r="AH243"/>
  <c r="AG243"/>
  <c r="AF243"/>
  <c r="AD243"/>
  <c r="AC243"/>
  <c r="AB243"/>
  <c r="AA243"/>
  <c r="Z243"/>
  <c r="Y243"/>
  <c r="X243"/>
  <c r="W243"/>
  <c r="R243"/>
  <c r="Q243"/>
  <c r="O243"/>
  <c r="L243"/>
  <c r="K243"/>
  <c r="J243"/>
  <c r="I243"/>
  <c r="F243"/>
  <c r="E243"/>
  <c r="U239"/>
  <c r="S239"/>
  <c r="AP239" s="1"/>
  <c r="F239"/>
  <c r="T239" s="1"/>
  <c r="AQ239" s="1"/>
  <c r="AP238"/>
  <c r="U238"/>
  <c r="F238"/>
  <c r="T238" s="1"/>
  <c r="AQ238" s="1"/>
  <c r="U237"/>
  <c r="S237"/>
  <c r="AP237" s="1"/>
  <c r="F237"/>
  <c r="T237" s="1"/>
  <c r="AQ237" s="1"/>
  <c r="AP236"/>
  <c r="U236"/>
  <c r="F236"/>
  <c r="T236" s="1"/>
  <c r="AQ236" s="1"/>
  <c r="AP235"/>
  <c r="U235"/>
  <c r="F235"/>
  <c r="T235" s="1"/>
  <c r="AQ235" s="1"/>
  <c r="U234"/>
  <c r="S234"/>
  <c r="F234"/>
  <c r="T234" s="1"/>
  <c r="U233"/>
  <c r="S233"/>
  <c r="AP233" s="1"/>
  <c r="F233"/>
  <c r="T233" s="1"/>
  <c r="AQ233" s="1"/>
  <c r="F232"/>
  <c r="F231"/>
  <c r="F230"/>
  <c r="U229"/>
  <c r="S229"/>
  <c r="AP229" s="1"/>
  <c r="F229"/>
  <c r="T229" s="1"/>
  <c r="AQ229" s="1"/>
  <c r="U228"/>
  <c r="S228"/>
  <c r="AP228" s="1"/>
  <c r="F228"/>
  <c r="T228" s="1"/>
  <c r="AQ228" s="1"/>
  <c r="U227"/>
  <c r="S227"/>
  <c r="AP227" s="1"/>
  <c r="F227"/>
  <c r="T227" s="1"/>
  <c r="AQ227" s="1"/>
  <c r="U226"/>
  <c r="S226"/>
  <c r="AP226" s="1"/>
  <c r="F226"/>
  <c r="T226" s="1"/>
  <c r="AQ226" s="1"/>
  <c r="U225"/>
  <c r="S225"/>
  <c r="AP225" s="1"/>
  <c r="F225"/>
  <c r="T225" s="1"/>
  <c r="AQ225" s="1"/>
  <c r="U224"/>
  <c r="S224"/>
  <c r="AP224" s="1"/>
  <c r="F224"/>
  <c r="T224" s="1"/>
  <c r="AQ224" s="1"/>
  <c r="U223"/>
  <c r="S223"/>
  <c r="AP223" s="1"/>
  <c r="F223"/>
  <c r="T223" s="1"/>
  <c r="AQ223" s="1"/>
  <c r="U222"/>
  <c r="S222"/>
  <c r="AP222" s="1"/>
  <c r="F222"/>
  <c r="T222" s="1"/>
  <c r="AQ222" s="1"/>
  <c r="F221"/>
  <c r="U220"/>
  <c r="S220"/>
  <c r="AP220" s="1"/>
  <c r="F220"/>
  <c r="T220" s="1"/>
  <c r="AQ220" s="1"/>
  <c r="U219"/>
  <c r="S219"/>
  <c r="AP219" s="1"/>
  <c r="F219"/>
  <c r="T219" s="1"/>
  <c r="AQ219" s="1"/>
  <c r="F218"/>
  <c r="U217"/>
  <c r="S217"/>
  <c r="AP217" s="1"/>
  <c r="F217"/>
  <c r="AP216"/>
  <c r="U216"/>
  <c r="F216"/>
  <c r="T216" s="1"/>
  <c r="AQ216" s="1"/>
  <c r="U215"/>
  <c r="S215"/>
  <c r="AP215" s="1"/>
  <c r="F215"/>
  <c r="T215" s="1"/>
  <c r="AQ215" s="1"/>
  <c r="AP214"/>
  <c r="U214"/>
  <c r="F214"/>
  <c r="T214" s="1"/>
  <c r="AO213"/>
  <c r="AF213"/>
  <c r="AD213"/>
  <c r="AC213"/>
  <c r="AB213"/>
  <c r="AA213"/>
  <c r="Z213"/>
  <c r="Y213"/>
  <c r="X213"/>
  <c r="W213"/>
  <c r="R213"/>
  <c r="J213"/>
  <c r="I213"/>
  <c r="E213"/>
  <c r="U209"/>
  <c r="S209"/>
  <c r="AP209" s="1"/>
  <c r="F209"/>
  <c r="T209" s="1"/>
  <c r="AQ209" s="1"/>
  <c r="U208"/>
  <c r="S208"/>
  <c r="AP208" s="1"/>
  <c r="F208"/>
  <c r="T208" s="1"/>
  <c r="AQ208" s="1"/>
  <c r="U207"/>
  <c r="S207"/>
  <c r="AP207" s="1"/>
  <c r="F207"/>
  <c r="T207" s="1"/>
  <c r="AQ207" s="1"/>
  <c r="U206"/>
  <c r="S206"/>
  <c r="AP206" s="1"/>
  <c r="F206"/>
  <c r="T206" s="1"/>
  <c r="AQ206" s="1"/>
  <c r="U205"/>
  <c r="S205"/>
  <c r="AP205" s="1"/>
  <c r="F205"/>
  <c r="T205" s="1"/>
  <c r="AQ205" s="1"/>
  <c r="U204"/>
  <c r="S204"/>
  <c r="F204"/>
  <c r="T204" s="1"/>
  <c r="U203"/>
  <c r="S203"/>
  <c r="AP203" s="1"/>
  <c r="F203"/>
  <c r="T203" s="1"/>
  <c r="AQ203" s="1"/>
  <c r="F202"/>
  <c r="F201"/>
  <c r="F200"/>
  <c r="U199"/>
  <c r="S199"/>
  <c r="AP199" s="1"/>
  <c r="F199"/>
  <c r="T199" s="1"/>
  <c r="AQ199" s="1"/>
  <c r="U198"/>
  <c r="S198"/>
  <c r="AP198" s="1"/>
  <c r="F198"/>
  <c r="T198" s="1"/>
  <c r="AQ198" s="1"/>
  <c r="U197"/>
  <c r="S197"/>
  <c r="AP197" s="1"/>
  <c r="F197"/>
  <c r="T197" s="1"/>
  <c r="AQ197" s="1"/>
  <c r="U196"/>
  <c r="S196"/>
  <c r="AP196" s="1"/>
  <c r="F196"/>
  <c r="T196" s="1"/>
  <c r="AQ196" s="1"/>
  <c r="U195"/>
  <c r="S195"/>
  <c r="AP195" s="1"/>
  <c r="F195"/>
  <c r="T195" s="1"/>
  <c r="AQ195" s="1"/>
  <c r="U194"/>
  <c r="S194"/>
  <c r="AP194" s="1"/>
  <c r="F194"/>
  <c r="T194" s="1"/>
  <c r="AQ194" s="1"/>
  <c r="U193"/>
  <c r="S193"/>
  <c r="AP193" s="1"/>
  <c r="F193"/>
  <c r="T193" s="1"/>
  <c r="AQ193" s="1"/>
  <c r="U192"/>
  <c r="S192"/>
  <c r="AP192" s="1"/>
  <c r="F192"/>
  <c r="T192" s="1"/>
  <c r="AQ192" s="1"/>
  <c r="F191"/>
  <c r="U190"/>
  <c r="S190"/>
  <c r="AP190" s="1"/>
  <c r="F190"/>
  <c r="T190" s="1"/>
  <c r="AQ190" s="1"/>
  <c r="U189"/>
  <c r="S189"/>
  <c r="AP189" s="1"/>
  <c r="F189"/>
  <c r="T189" s="1"/>
  <c r="AQ189" s="1"/>
  <c r="F188"/>
  <c r="U187"/>
  <c r="S187"/>
  <c r="AP187" s="1"/>
  <c r="F187"/>
  <c r="T187" s="1"/>
  <c r="AQ187" s="1"/>
  <c r="U186"/>
  <c r="S186"/>
  <c r="AP186" s="1"/>
  <c r="F186"/>
  <c r="T186" s="1"/>
  <c r="AQ186" s="1"/>
  <c r="U185"/>
  <c r="S185"/>
  <c r="AP185" s="1"/>
  <c r="F185"/>
  <c r="T185" s="1"/>
  <c r="AQ185" s="1"/>
  <c r="U184"/>
  <c r="S184"/>
  <c r="AP184" s="1"/>
  <c r="F184"/>
  <c r="AN183"/>
  <c r="AF183"/>
  <c r="AD183"/>
  <c r="AC183"/>
  <c r="AB183"/>
  <c r="AA183"/>
  <c r="Z183"/>
  <c r="Y183"/>
  <c r="X183"/>
  <c r="W183"/>
  <c r="R183"/>
  <c r="Q183"/>
  <c r="J183"/>
  <c r="I183"/>
  <c r="E183"/>
  <c r="AJ182"/>
  <c r="AI182"/>
  <c r="S182"/>
  <c r="AP182" s="1"/>
  <c r="N182"/>
  <c r="M182"/>
  <c r="AP181"/>
  <c r="AJ180"/>
  <c r="AI180"/>
  <c r="S180"/>
  <c r="N180"/>
  <c r="M180"/>
  <c r="AJ179"/>
  <c r="AI179"/>
  <c r="S179"/>
  <c r="N179"/>
  <c r="M179"/>
  <c r="AJ177"/>
  <c r="AI177"/>
  <c r="S177"/>
  <c r="AP177" s="1"/>
  <c r="N177"/>
  <c r="M177"/>
  <c r="AJ176"/>
  <c r="AI176"/>
  <c r="S176"/>
  <c r="N176"/>
  <c r="M176"/>
  <c r="AJ175"/>
  <c r="AI175"/>
  <c r="S175"/>
  <c r="AP175" s="1"/>
  <c r="N175"/>
  <c r="M175"/>
  <c r="AJ174"/>
  <c r="AL174" s="1"/>
  <c r="AP173"/>
  <c r="AJ173"/>
  <c r="AI173"/>
  <c r="AJ172"/>
  <c r="AI172"/>
  <c r="S172"/>
  <c r="AP172" s="1"/>
  <c r="N172"/>
  <c r="M172"/>
  <c r="AJ171"/>
  <c r="AI171"/>
  <c r="S171"/>
  <c r="AP171" s="1"/>
  <c r="N171"/>
  <c r="M171"/>
  <c r="AJ169"/>
  <c r="AI169"/>
  <c r="AP168"/>
  <c r="AJ168"/>
  <c r="AI168"/>
  <c r="AJ166"/>
  <c r="AI166"/>
  <c r="AK165"/>
  <c r="AH165"/>
  <c r="AG165"/>
  <c r="AF165"/>
  <c r="AD165"/>
  <c r="AC165"/>
  <c r="AB165"/>
  <c r="AA165"/>
  <c r="Z165"/>
  <c r="Y165"/>
  <c r="X165"/>
  <c r="W165"/>
  <c r="V165"/>
  <c r="U165"/>
  <c r="R165"/>
  <c r="Q165"/>
  <c r="O165"/>
  <c r="L165"/>
  <c r="K165"/>
  <c r="J165"/>
  <c r="I165"/>
  <c r="F165"/>
  <c r="E165"/>
  <c r="AJ164"/>
  <c r="AI164"/>
  <c r="S164"/>
  <c r="AP164" s="1"/>
  <c r="N164"/>
  <c r="M164"/>
  <c r="AP163"/>
  <c r="AJ163"/>
  <c r="AI163"/>
  <c r="AJ162"/>
  <c r="AI162"/>
  <c r="S162"/>
  <c r="AP162" s="1"/>
  <c r="N162"/>
  <c r="M162"/>
  <c r="AP161"/>
  <c r="AJ161"/>
  <c r="AI161"/>
  <c r="AJ160"/>
  <c r="AI160"/>
  <c r="S160"/>
  <c r="AP160" s="1"/>
  <c r="N160"/>
  <c r="M160"/>
  <c r="AJ159"/>
  <c r="AI159"/>
  <c r="S159"/>
  <c r="AP159" s="1"/>
  <c r="N159"/>
  <c r="M159"/>
  <c r="AP158"/>
  <c r="AJ158"/>
  <c r="AI158"/>
  <c r="S157"/>
  <c r="AQ155"/>
  <c r="AP155"/>
  <c r="AJ154"/>
  <c r="AI154"/>
  <c r="S154"/>
  <c r="AP154" s="1"/>
  <c r="N154"/>
  <c r="M154"/>
  <c r="AJ153"/>
  <c r="AI153"/>
  <c r="T153"/>
  <c r="AQ153" s="1"/>
  <c r="S153"/>
  <c r="AP153" s="1"/>
  <c r="N153"/>
  <c r="M153"/>
  <c r="AJ151"/>
  <c r="AI151"/>
  <c r="S151"/>
  <c r="N151"/>
  <c r="M151"/>
  <c r="AQ150"/>
  <c r="AP150"/>
  <c r="AJ149"/>
  <c r="AI149"/>
  <c r="S149"/>
  <c r="AP149" s="1"/>
  <c r="N149"/>
  <c r="M149"/>
  <c r="AP148"/>
  <c r="AJ148"/>
  <c r="AI148"/>
  <c r="AJ147"/>
  <c r="AI147"/>
  <c r="S147"/>
  <c r="AP147" s="1"/>
  <c r="N147"/>
  <c r="M147"/>
  <c r="AK146"/>
  <c r="AH146"/>
  <c r="AG146"/>
  <c r="AF146"/>
  <c r="AD146"/>
  <c r="AC146"/>
  <c r="AB146"/>
  <c r="AA146"/>
  <c r="Z146"/>
  <c r="Y146"/>
  <c r="X146"/>
  <c r="W146"/>
  <c r="R146"/>
  <c r="Q146"/>
  <c r="O146"/>
  <c r="L146"/>
  <c r="K146"/>
  <c r="J146"/>
  <c r="I146"/>
  <c r="F146"/>
  <c r="E146"/>
  <c r="AJ145"/>
  <c r="AI145"/>
  <c r="S145"/>
  <c r="AP145" s="1"/>
  <c r="AP144" s="1"/>
  <c r="N145"/>
  <c r="N144" s="1"/>
  <c r="M145"/>
  <c r="AO144"/>
  <c r="AN144"/>
  <c r="AK144"/>
  <c r="AJ144"/>
  <c r="AH144"/>
  <c r="AG144"/>
  <c r="AF144"/>
  <c r="AD144"/>
  <c r="AC144"/>
  <c r="AB144"/>
  <c r="AA144"/>
  <c r="Z144"/>
  <c r="Y144"/>
  <c r="X144"/>
  <c r="W144"/>
  <c r="S144"/>
  <c r="R144"/>
  <c r="Q144"/>
  <c r="O144"/>
  <c r="L144"/>
  <c r="K144"/>
  <c r="J144"/>
  <c r="I144"/>
  <c r="AF142"/>
  <c r="AD142"/>
  <c r="AC142"/>
  <c r="AB142"/>
  <c r="AA142"/>
  <c r="Z142"/>
  <c r="Y142"/>
  <c r="X142"/>
  <c r="W142"/>
  <c r="T142"/>
  <c r="S142"/>
  <c r="R142"/>
  <c r="Q142"/>
  <c r="J142"/>
  <c r="I142"/>
  <c r="H142"/>
  <c r="G142"/>
  <c r="F142"/>
  <c r="E142"/>
  <c r="D142"/>
  <c r="C142"/>
  <c r="AQ141"/>
  <c r="AQ136" s="1"/>
  <c r="AJ141"/>
  <c r="AJ136" s="1"/>
  <c r="AI141"/>
  <c r="AI136" s="1"/>
  <c r="AP136"/>
  <c r="AK136"/>
  <c r="AH136"/>
  <c r="AG136"/>
  <c r="AJ82"/>
  <c r="AI82"/>
  <c r="AJ81"/>
  <c r="AI81"/>
  <c r="AJ80"/>
  <c r="AI80"/>
  <c r="AJ79"/>
  <c r="AI79"/>
  <c r="AJ78"/>
  <c r="AI78"/>
  <c r="AJ77"/>
  <c r="AI77"/>
  <c r="AJ76"/>
  <c r="AI76"/>
  <c r="AJ75"/>
  <c r="AI75"/>
  <c r="AJ74"/>
  <c r="AI74"/>
  <c r="AJ73"/>
  <c r="AI73"/>
  <c r="AJ72"/>
  <c r="AI72"/>
  <c r="AJ71"/>
  <c r="AI71"/>
  <c r="AJ70"/>
  <c r="AI70"/>
  <c r="AJ69"/>
  <c r="AI69"/>
  <c r="AJ68"/>
  <c r="AI68"/>
  <c r="AJ67"/>
  <c r="AI67"/>
  <c r="AJ66"/>
  <c r="AI66"/>
  <c r="AJ65"/>
  <c r="AI65"/>
  <c r="AJ64"/>
  <c r="AI64"/>
  <c r="AJ63"/>
  <c r="AI63"/>
  <c r="AJ62"/>
  <c r="AI62"/>
  <c r="AJ61"/>
  <c r="AI61"/>
  <c r="AJ60"/>
  <c r="AI60"/>
  <c r="AJ59"/>
  <c r="AI59"/>
  <c r="AJ58"/>
  <c r="AI58"/>
  <c r="AJ57"/>
  <c r="AI57"/>
  <c r="AJ56"/>
  <c r="AI56"/>
  <c r="AP55"/>
  <c r="AN55"/>
  <c r="AK55"/>
  <c r="AH55"/>
  <c r="AG55"/>
  <c r="AF55"/>
  <c r="AD55"/>
  <c r="AC55"/>
  <c r="AB55"/>
  <c r="AA55"/>
  <c r="Z55"/>
  <c r="Y55"/>
  <c r="AP54"/>
  <c r="AQ53"/>
  <c r="AP53"/>
  <c r="AJ53"/>
  <c r="AI53"/>
  <c r="AP52"/>
  <c r="AJ52"/>
  <c r="AI52"/>
  <c r="AQ51"/>
  <c r="AP51"/>
  <c r="AJ51"/>
  <c r="AI51"/>
  <c r="AQ50"/>
  <c r="AP50"/>
  <c r="AJ50"/>
  <c r="AI50"/>
  <c r="N50"/>
  <c r="M50"/>
  <c r="AQ49"/>
  <c r="AP49"/>
  <c r="AJ49"/>
  <c r="AJ48"/>
  <c r="AI48"/>
  <c r="S48"/>
  <c r="N48"/>
  <c r="M48"/>
  <c r="AJ47"/>
  <c r="AI47"/>
  <c r="S47"/>
  <c r="AP47" s="1"/>
  <c r="N47"/>
  <c r="M47"/>
  <c r="AP46"/>
  <c r="AJ46"/>
  <c r="AI46"/>
  <c r="AP45"/>
  <c r="AJ45"/>
  <c r="AI45"/>
  <c r="AJ44"/>
  <c r="AI44"/>
  <c r="S44"/>
  <c r="AP44" s="1"/>
  <c r="N44"/>
  <c r="M44"/>
  <c r="AQ43"/>
  <c r="AP43"/>
  <c r="AJ43"/>
  <c r="AJ42"/>
  <c r="AI42"/>
  <c r="S42"/>
  <c r="AP42" s="1"/>
  <c r="N42"/>
  <c r="M42"/>
  <c r="AQ41"/>
  <c r="AP41"/>
  <c r="AJ41"/>
  <c r="AJ40"/>
  <c r="AQ39"/>
  <c r="AP39"/>
  <c r="AJ39"/>
  <c r="AI39"/>
  <c r="AQ37"/>
  <c r="AP37"/>
  <c r="AK36"/>
  <c r="AH36"/>
  <c r="AG36"/>
  <c r="AF36"/>
  <c r="AD36"/>
  <c r="AC36"/>
  <c r="AB36"/>
  <c r="AA36"/>
  <c r="Z36"/>
  <c r="Y36"/>
  <c r="X36"/>
  <c r="W36"/>
  <c r="R36"/>
  <c r="Q36"/>
  <c r="O36"/>
  <c r="L36"/>
  <c r="K36"/>
  <c r="J36"/>
  <c r="I36"/>
  <c r="F36"/>
  <c r="E36"/>
  <c r="AJ35"/>
  <c r="AI35"/>
  <c r="S35"/>
  <c r="AP35" s="1"/>
  <c r="AP34" s="1"/>
  <c r="N35"/>
  <c r="M35"/>
  <c r="AF34"/>
  <c r="AD34"/>
  <c r="AC34"/>
  <c r="AB34"/>
  <c r="AA34"/>
  <c r="Z34"/>
  <c r="Y34"/>
  <c r="X34"/>
  <c r="W34"/>
  <c r="S34"/>
  <c r="J34"/>
  <c r="I34"/>
  <c r="AA25"/>
  <c r="Z25"/>
  <c r="Y25"/>
  <c r="X25"/>
  <c r="T33"/>
  <c r="AJ32"/>
  <c r="AI32"/>
  <c r="T32"/>
  <c r="AJ31"/>
  <c r="AI31"/>
  <c r="S31"/>
  <c r="AJ30"/>
  <c r="AI30"/>
  <c r="S29"/>
  <c r="S27"/>
  <c r="AP26"/>
  <c r="AP25" s="1"/>
  <c r="AJ26"/>
  <c r="AI26"/>
  <c r="AO25"/>
  <c r="AN25"/>
  <c r="AK25"/>
  <c r="AH25"/>
  <c r="AG25"/>
  <c r="AD25"/>
  <c r="AC25"/>
  <c r="AB25"/>
  <c r="W25"/>
  <c r="R25"/>
  <c r="Q25"/>
  <c r="J25"/>
  <c r="I25"/>
  <c r="H25"/>
  <c r="G25"/>
  <c r="F25"/>
  <c r="E25"/>
  <c r="D25"/>
  <c r="C25"/>
  <c r="AP24"/>
  <c r="AP23"/>
  <c r="AP20"/>
  <c r="AQ19"/>
  <c r="AO19"/>
  <c r="AN19"/>
  <c r="AF19"/>
  <c r="AB19"/>
  <c r="AA19"/>
  <c r="Z19"/>
  <c r="Y19"/>
  <c r="AP18"/>
  <c r="AJ18"/>
  <c r="AI18"/>
  <c r="AP17"/>
  <c r="AJ17"/>
  <c r="AI17"/>
  <c r="AP16"/>
  <c r="AJ16"/>
  <c r="AI16"/>
  <c r="AK15"/>
  <c r="AH15"/>
  <c r="AG15"/>
  <c r="AP14"/>
  <c r="AJ14"/>
  <c r="AI14"/>
  <c r="AJ13"/>
  <c r="AI13"/>
  <c r="AP12"/>
  <c r="AJ12"/>
  <c r="AI12"/>
  <c r="AP11"/>
  <c r="AJ11"/>
  <c r="AI11"/>
  <c r="AP10"/>
  <c r="AJ10"/>
  <c r="AI10"/>
  <c r="AP9"/>
  <c r="AJ9"/>
  <c r="AI9"/>
  <c r="AP8"/>
  <c r="AJ8"/>
  <c r="AI8"/>
  <c r="AK7"/>
  <c r="AH7"/>
  <c r="AG7"/>
  <c r="AP458" l="1"/>
  <c r="AF319"/>
  <c r="M411"/>
  <c r="AJ411"/>
  <c r="N36"/>
  <c r="L340"/>
  <c r="AA381"/>
  <c r="AP398"/>
  <c r="AK381"/>
  <c r="AD381"/>
  <c r="AP36"/>
  <c r="M458"/>
  <c r="AL536"/>
  <c r="AQ536" s="1"/>
  <c r="AL537"/>
  <c r="AQ537" s="1"/>
  <c r="AL31"/>
  <c r="N257"/>
  <c r="M165"/>
  <c r="AG319"/>
  <c r="AJ55"/>
  <c r="AL14"/>
  <c r="AQ14" s="1"/>
  <c r="M319"/>
  <c r="N146"/>
  <c r="K340"/>
  <c r="S381"/>
  <c r="AJ25"/>
  <c r="AL35"/>
  <c r="AJ36"/>
  <c r="AL177"/>
  <c r="F183"/>
  <c r="P246"/>
  <c r="T246" s="1"/>
  <c r="AQ246" s="1"/>
  <c r="AL249"/>
  <c r="AQ249" s="1"/>
  <c r="AL253"/>
  <c r="AL254"/>
  <c r="AL255"/>
  <c r="AQ255" s="1"/>
  <c r="AL262"/>
  <c r="AQ262" s="1"/>
  <c r="P265"/>
  <c r="T265" s="1"/>
  <c r="AL267"/>
  <c r="AL268"/>
  <c r="P270"/>
  <c r="T270" s="1"/>
  <c r="AQ270" s="1"/>
  <c r="P311"/>
  <c r="T311" s="1"/>
  <c r="AQ311" s="1"/>
  <c r="P313"/>
  <c r="T313" s="1"/>
  <c r="AL314"/>
  <c r="P315"/>
  <c r="T315" s="1"/>
  <c r="AQ315" s="1"/>
  <c r="P316"/>
  <c r="T316" s="1"/>
  <c r="AQ316" s="1"/>
  <c r="S319"/>
  <c r="AH319"/>
  <c r="Z319"/>
  <c r="N353"/>
  <c r="AL360"/>
  <c r="AI374"/>
  <c r="Y381"/>
  <c r="AJ458"/>
  <c r="AF511"/>
  <c r="Z511"/>
  <c r="AB511"/>
  <c r="P392"/>
  <c r="AI430"/>
  <c r="N430"/>
  <c r="AL437"/>
  <c r="P438"/>
  <c r="T438" s="1"/>
  <c r="AQ438" s="1"/>
  <c r="AL438"/>
  <c r="AL451"/>
  <c r="AQ451" s="1"/>
  <c r="AP450"/>
  <c r="AP453"/>
  <c r="N458"/>
  <c r="AL461"/>
  <c r="AL462"/>
  <c r="AQ462" s="1"/>
  <c r="S468"/>
  <c r="S458" s="1"/>
  <c r="Y529"/>
  <c r="AH381"/>
  <c r="AJ383"/>
  <c r="AL383" s="1"/>
  <c r="AQ383" s="1"/>
  <c r="P385"/>
  <c r="T385" s="1"/>
  <c r="AI385"/>
  <c r="P317"/>
  <c r="T317" s="1"/>
  <c r="AQ317" s="1"/>
  <c r="AB319"/>
  <c r="AP7"/>
  <c r="AL42"/>
  <c r="AL318"/>
  <c r="AL322"/>
  <c r="AL323"/>
  <c r="AL325"/>
  <c r="AQ325" s="1"/>
  <c r="AL326"/>
  <c r="AQ326" s="1"/>
  <c r="P329"/>
  <c r="T329" s="1"/>
  <c r="AQ329" s="1"/>
  <c r="P338"/>
  <c r="T338" s="1"/>
  <c r="AP337"/>
  <c r="AL45"/>
  <c r="AQ45" s="1"/>
  <c r="P47"/>
  <c r="T47" s="1"/>
  <c r="AQ47" s="1"/>
  <c r="AL48"/>
  <c r="P50"/>
  <c r="AL50"/>
  <c r="AL154"/>
  <c r="AL158"/>
  <c r="AQ158" s="1"/>
  <c r="AL159"/>
  <c r="P160"/>
  <c r="T160" s="1"/>
  <c r="AQ160" s="1"/>
  <c r="AJ165"/>
  <c r="AL348"/>
  <c r="AQ348" s="1"/>
  <c r="P350"/>
  <c r="T350" s="1"/>
  <c r="AL355"/>
  <c r="P356"/>
  <c r="T356" s="1"/>
  <c r="AQ356" s="1"/>
  <c r="AL356"/>
  <c r="AL359"/>
  <c r="AI394"/>
  <c r="AL394" s="1"/>
  <c r="AI397"/>
  <c r="AL397" s="1"/>
  <c r="AQ397" s="1"/>
  <c r="AL414"/>
  <c r="AQ414" s="1"/>
  <c r="AA529"/>
  <c r="AL8"/>
  <c r="AQ8" s="1"/>
  <c r="AL12"/>
  <c r="AQ12" s="1"/>
  <c r="AL465"/>
  <c r="AP508"/>
  <c r="Y511"/>
  <c r="AA511"/>
  <c r="AL532"/>
  <c r="AL17"/>
  <c r="AQ17" s="1"/>
  <c r="AL26"/>
  <c r="AQ26" s="1"/>
  <c r="AL147"/>
  <c r="AL148"/>
  <c r="AQ148" s="1"/>
  <c r="AL149"/>
  <c r="AJ146"/>
  <c r="AL162"/>
  <c r="P164"/>
  <c r="T164" s="1"/>
  <c r="AL166"/>
  <c r="N165"/>
  <c r="AL168"/>
  <c r="AQ168" s="1"/>
  <c r="AL172"/>
  <c r="AL173"/>
  <c r="AQ173" s="1"/>
  <c r="P175"/>
  <c r="T175" s="1"/>
  <c r="AQ175" s="1"/>
  <c r="M243"/>
  <c r="AL272"/>
  <c r="AL273"/>
  <c r="AL275"/>
  <c r="AJ271"/>
  <c r="P277"/>
  <c r="T277" s="1"/>
  <c r="P279"/>
  <c r="AL281"/>
  <c r="AL282"/>
  <c r="AL284"/>
  <c r="AL285"/>
  <c r="AL287"/>
  <c r="P289"/>
  <c r="AL289"/>
  <c r="AL291"/>
  <c r="AL293"/>
  <c r="AL294"/>
  <c r="AL296"/>
  <c r="AL297"/>
  <c r="P360"/>
  <c r="T360" s="1"/>
  <c r="AQ360" s="1"/>
  <c r="P361"/>
  <c r="T361" s="1"/>
  <c r="AL361"/>
  <c r="P362"/>
  <c r="T362" s="1"/>
  <c r="AQ362" s="1"/>
  <c r="AL362"/>
  <c r="P363"/>
  <c r="T363" s="1"/>
  <c r="AQ363" s="1"/>
  <c r="AL363"/>
  <c r="AL365"/>
  <c r="P366"/>
  <c r="T366" s="1"/>
  <c r="AQ366" s="1"/>
  <c r="AL366"/>
  <c r="P367"/>
  <c r="AL367"/>
  <c r="T368"/>
  <c r="AL375"/>
  <c r="AQ375" s="1"/>
  <c r="AP374"/>
  <c r="AL378"/>
  <c r="AQ378" s="1"/>
  <c r="AL404"/>
  <c r="P416"/>
  <c r="T416" s="1"/>
  <c r="AQ416" s="1"/>
  <c r="AL416"/>
  <c r="P417"/>
  <c r="T417" s="1"/>
  <c r="AQ417" s="1"/>
  <c r="AL417"/>
  <c r="AL420"/>
  <c r="P421"/>
  <c r="T421" s="1"/>
  <c r="AQ421" s="1"/>
  <c r="AL421"/>
  <c r="P422"/>
  <c r="AL422"/>
  <c r="P425"/>
  <c r="T425" s="1"/>
  <c r="AL425"/>
  <c r="AQ425" s="1"/>
  <c r="P426"/>
  <c r="T426" s="1"/>
  <c r="AQ426" s="1"/>
  <c r="AI36"/>
  <c r="AL51"/>
  <c r="AL52"/>
  <c r="AQ52" s="1"/>
  <c r="P346"/>
  <c r="T346" s="1"/>
  <c r="AL392"/>
  <c r="AQ392" s="1"/>
  <c r="I271"/>
  <c r="P393"/>
  <c r="AL399"/>
  <c r="AL401"/>
  <c r="AQ401" s="1"/>
  <c r="AQ398" s="1"/>
  <c r="AL402"/>
  <c r="AL403"/>
  <c r="AP405"/>
  <c r="P412"/>
  <c r="T412" s="1"/>
  <c r="P418"/>
  <c r="T418" s="1"/>
  <c r="AQ418" s="1"/>
  <c r="AL419"/>
  <c r="P420"/>
  <c r="T420" s="1"/>
  <c r="AQ420" s="1"/>
  <c r="P424"/>
  <c r="AL424"/>
  <c r="AQ424" s="1"/>
  <c r="AL426"/>
  <c r="P427"/>
  <c r="T427" s="1"/>
  <c r="AQ427" s="1"/>
  <c r="AL427"/>
  <c r="P428"/>
  <c r="T428" s="1"/>
  <c r="AQ428" s="1"/>
  <c r="AL428"/>
  <c r="M430"/>
  <c r="AL433"/>
  <c r="AL435"/>
  <c r="AQ435" s="1"/>
  <c r="P437"/>
  <c r="T437" s="1"/>
  <c r="AL9"/>
  <c r="AQ9" s="1"/>
  <c r="AL11"/>
  <c r="AQ11" s="1"/>
  <c r="AI15"/>
  <c r="AL16"/>
  <c r="AQ16" s="1"/>
  <c r="AP15"/>
  <c r="AL18"/>
  <c r="AQ18" s="1"/>
  <c r="AI25"/>
  <c r="T29"/>
  <c r="T25" s="1"/>
  <c r="AL32"/>
  <c r="S32"/>
  <c r="P35"/>
  <c r="T35" s="1"/>
  <c r="M36"/>
  <c r="P44"/>
  <c r="T44" s="1"/>
  <c r="AQ44" s="1"/>
  <c r="AL47"/>
  <c r="P48"/>
  <c r="T48" s="1"/>
  <c r="AL53"/>
  <c r="AL57"/>
  <c r="AQ57" s="1"/>
  <c r="AL58"/>
  <c r="AQ58" s="1"/>
  <c r="AL59"/>
  <c r="AQ59" s="1"/>
  <c r="AL60"/>
  <c r="AL61"/>
  <c r="AQ61" s="1"/>
  <c r="AL64"/>
  <c r="AQ64" s="1"/>
  <c r="AL65"/>
  <c r="AQ65" s="1"/>
  <c r="AL66"/>
  <c r="AQ66" s="1"/>
  <c r="AL67"/>
  <c r="AQ67" s="1"/>
  <c r="AL70"/>
  <c r="AQ70" s="1"/>
  <c r="AL71"/>
  <c r="AL72"/>
  <c r="AL73"/>
  <c r="AL74"/>
  <c r="AL75"/>
  <c r="AL80"/>
  <c r="AL81"/>
  <c r="AQ81" s="1"/>
  <c r="P145"/>
  <c r="T145" s="1"/>
  <c r="P147"/>
  <c r="AL151"/>
  <c r="P153"/>
  <c r="P154"/>
  <c r="T154" s="1"/>
  <c r="AQ154" s="1"/>
  <c r="AL160"/>
  <c r="P162"/>
  <c r="T162" s="1"/>
  <c r="AQ162" s="1"/>
  <c r="AL164"/>
  <c r="S169"/>
  <c r="P171"/>
  <c r="T171" s="1"/>
  <c r="AQ171" s="1"/>
  <c r="AL171"/>
  <c r="AL175"/>
  <c r="P177"/>
  <c r="T177" s="1"/>
  <c r="AQ177" s="1"/>
  <c r="AL244"/>
  <c r="AL246"/>
  <c r="P247"/>
  <c r="T247" s="1"/>
  <c r="AL248"/>
  <c r="AL250"/>
  <c r="AQ250" s="1"/>
  <c r="AL252"/>
  <c r="AQ252" s="1"/>
  <c r="AI257"/>
  <c r="P263"/>
  <c r="T263" s="1"/>
  <c r="AQ263" s="1"/>
  <c r="AL264"/>
  <c r="AQ264" s="1"/>
  <c r="AL269"/>
  <c r="P272"/>
  <c r="P274"/>
  <c r="T274" s="1"/>
  <c r="AQ274" s="1"/>
  <c r="P275"/>
  <c r="T275" s="1"/>
  <c r="AL277"/>
  <c r="AL278"/>
  <c r="AL279"/>
  <c r="P280"/>
  <c r="T280" s="1"/>
  <c r="AQ280" s="1"/>
  <c r="P281"/>
  <c r="T281" s="1"/>
  <c r="AQ281" s="1"/>
  <c r="P283"/>
  <c r="T283" s="1"/>
  <c r="P284"/>
  <c r="T284" s="1"/>
  <c r="AQ284" s="1"/>
  <c r="P286"/>
  <c r="T286" s="1"/>
  <c r="AQ286" s="1"/>
  <c r="P287"/>
  <c r="T287" s="1"/>
  <c r="AQ287" s="1"/>
  <c r="P290"/>
  <c r="AL290"/>
  <c r="P292"/>
  <c r="T292" s="1"/>
  <c r="P293"/>
  <c r="T293" s="1"/>
  <c r="AQ293" s="1"/>
  <c r="P295"/>
  <c r="T295" s="1"/>
  <c r="AQ295" s="1"/>
  <c r="P296"/>
  <c r="T296" s="1"/>
  <c r="AQ296" s="1"/>
  <c r="S310"/>
  <c r="Z310"/>
  <c r="AB310"/>
  <c r="P312"/>
  <c r="AL315"/>
  <c r="AL317"/>
  <c r="P318"/>
  <c r="T318" s="1"/>
  <c r="AQ318" s="1"/>
  <c r="AL320"/>
  <c r="AQ320" s="1"/>
  <c r="P322"/>
  <c r="T322" s="1"/>
  <c r="AQ322" s="1"/>
  <c r="AL324"/>
  <c r="P325"/>
  <c r="T325" s="1"/>
  <c r="P327"/>
  <c r="T327" s="1"/>
  <c r="AQ327" s="1"/>
  <c r="AH330"/>
  <c r="AJ332"/>
  <c r="AL332" s="1"/>
  <c r="AJ333"/>
  <c r="AL338"/>
  <c r="AL339"/>
  <c r="AQ339" s="1"/>
  <c r="P341"/>
  <c r="T341" s="1"/>
  <c r="AJ340"/>
  <c r="AL343"/>
  <c r="AL346"/>
  <c r="P347"/>
  <c r="T347" s="1"/>
  <c r="AQ347" s="1"/>
  <c r="AL347"/>
  <c r="AL350"/>
  <c r="AL351"/>
  <c r="AL352"/>
  <c r="AI353"/>
  <c r="M353"/>
  <c r="P357"/>
  <c r="T357" s="1"/>
  <c r="AQ357" s="1"/>
  <c r="AL358"/>
  <c r="P359"/>
  <c r="T359" s="1"/>
  <c r="AQ359" s="1"/>
  <c r="P364"/>
  <c r="AL364"/>
  <c r="P365"/>
  <c r="T365" s="1"/>
  <c r="AG381"/>
  <c r="AI382"/>
  <c r="AC381"/>
  <c r="Z538"/>
  <c r="Z529" s="1"/>
  <c r="AL10"/>
  <c r="AQ10" s="1"/>
  <c r="AL13"/>
  <c r="AJ15"/>
  <c r="AP19"/>
  <c r="AL30"/>
  <c r="AQ30" s="1"/>
  <c r="S33"/>
  <c r="AL39"/>
  <c r="P42"/>
  <c r="T42" s="1"/>
  <c r="AQ42" s="1"/>
  <c r="AL44"/>
  <c r="AL46"/>
  <c r="AQ46" s="1"/>
  <c r="AL56"/>
  <c r="AQ56" s="1"/>
  <c r="AJ7"/>
  <c r="AL62"/>
  <c r="AQ62" s="1"/>
  <c r="AL76"/>
  <c r="AL77"/>
  <c r="AL78"/>
  <c r="AL79"/>
  <c r="AQ79" s="1"/>
  <c r="AL82"/>
  <c r="AQ82" s="1"/>
  <c r="AL141"/>
  <c r="AL136" s="1"/>
  <c r="M144"/>
  <c r="AL145"/>
  <c r="AL144" s="1"/>
  <c r="P149"/>
  <c r="T149" s="1"/>
  <c r="AQ149" s="1"/>
  <c r="P151"/>
  <c r="T151" s="1"/>
  <c r="AL153"/>
  <c r="T157"/>
  <c r="P159"/>
  <c r="T159" s="1"/>
  <c r="AQ159" s="1"/>
  <c r="AL161"/>
  <c r="AQ161" s="1"/>
  <c r="AL163"/>
  <c r="AQ163" s="1"/>
  <c r="AI165"/>
  <c r="AL169"/>
  <c r="T184"/>
  <c r="AQ184" s="1"/>
  <c r="AQ183" s="1"/>
  <c r="P244"/>
  <c r="T244" s="1"/>
  <c r="AQ244" s="1"/>
  <c r="AJ243"/>
  <c r="AL258"/>
  <c r="AJ310"/>
  <c r="N310"/>
  <c r="AJ321"/>
  <c r="AJ319" s="1"/>
  <c r="P355"/>
  <c r="T355" s="1"/>
  <c r="AQ355" s="1"/>
  <c r="AP353"/>
  <c r="AQ368"/>
  <c r="AL376"/>
  <c r="AL377"/>
  <c r="AQ377" s="1"/>
  <c r="AL384"/>
  <c r="AQ384" s="1"/>
  <c r="AP385"/>
  <c r="AL386"/>
  <c r="AQ386" s="1"/>
  <c r="AL387"/>
  <c r="AQ387" s="1"/>
  <c r="AL388"/>
  <c r="AQ388" s="1"/>
  <c r="AL390"/>
  <c r="AQ390" s="1"/>
  <c r="AJ391"/>
  <c r="AL391" s="1"/>
  <c r="AQ391" s="1"/>
  <c r="AL393"/>
  <c r="AQ393" s="1"/>
  <c r="P394"/>
  <c r="T394" s="1"/>
  <c r="T381" s="1"/>
  <c r="AP394"/>
  <c r="AJ395"/>
  <c r="AL395" s="1"/>
  <c r="AQ395" s="1"/>
  <c r="AL412"/>
  <c r="AL418"/>
  <c r="P419"/>
  <c r="T419" s="1"/>
  <c r="P423"/>
  <c r="AL423"/>
  <c r="AQ423" s="1"/>
  <c r="AL431"/>
  <c r="AQ431" s="1"/>
  <c r="AL432"/>
  <c r="AQ432" s="1"/>
  <c r="P433"/>
  <c r="P436"/>
  <c r="T436" s="1"/>
  <c r="AQ436" s="1"/>
  <c r="AL436"/>
  <c r="AP444"/>
  <c r="AI450"/>
  <c r="AL452"/>
  <c r="AQ452" s="1"/>
  <c r="AQ450" s="1"/>
  <c r="AL463"/>
  <c r="AC508"/>
  <c r="AL510"/>
  <c r="AQ510" s="1"/>
  <c r="AP511"/>
  <c r="AL63"/>
  <c r="AQ63" s="1"/>
  <c r="AL68"/>
  <c r="AQ68" s="1"/>
  <c r="AL69"/>
  <c r="AQ69" s="1"/>
  <c r="AL176"/>
  <c r="P179"/>
  <c r="T179" s="1"/>
  <c r="AL179"/>
  <c r="P180"/>
  <c r="T180" s="1"/>
  <c r="AL180"/>
  <c r="P182"/>
  <c r="T182" s="1"/>
  <c r="AQ182" s="1"/>
  <c r="AL182"/>
  <c r="S213"/>
  <c r="AP213"/>
  <c r="S243"/>
  <c r="N243"/>
  <c r="AL245"/>
  <c r="AL247"/>
  <c r="P248"/>
  <c r="T248" s="1"/>
  <c r="AL251"/>
  <c r="AQ251" s="1"/>
  <c r="AL256"/>
  <c r="AQ256" s="1"/>
  <c r="P258"/>
  <c r="T258" s="1"/>
  <c r="AJ257"/>
  <c r="AL259"/>
  <c r="AQ259" s="1"/>
  <c r="AL261"/>
  <c r="AL265"/>
  <c r="AL266"/>
  <c r="AQ266" s="1"/>
  <c r="P268"/>
  <c r="T268" s="1"/>
  <c r="AQ268" s="1"/>
  <c r="P269"/>
  <c r="T269" s="1"/>
  <c r="AL270"/>
  <c r="N271"/>
  <c r="P273"/>
  <c r="T273" s="1"/>
  <c r="AQ273" s="1"/>
  <c r="AL274"/>
  <c r="P276"/>
  <c r="AL276"/>
  <c r="P278"/>
  <c r="T278" s="1"/>
  <c r="AQ278" s="1"/>
  <c r="AL280"/>
  <c r="P282"/>
  <c r="T282" s="1"/>
  <c r="AQ282" s="1"/>
  <c r="AL283"/>
  <c r="P285"/>
  <c r="T285" s="1"/>
  <c r="AQ285" s="1"/>
  <c r="AL286"/>
  <c r="P288"/>
  <c r="AL288"/>
  <c r="P291"/>
  <c r="T291" s="1"/>
  <c r="AQ291" s="1"/>
  <c r="AL292"/>
  <c r="P294"/>
  <c r="T294" s="1"/>
  <c r="AQ294" s="1"/>
  <c r="AL295"/>
  <c r="P297"/>
  <c r="T297" s="1"/>
  <c r="AQ297" s="1"/>
  <c r="P298"/>
  <c r="AL298"/>
  <c r="P299"/>
  <c r="AL299"/>
  <c r="P300"/>
  <c r="AL300"/>
  <c r="AP301"/>
  <c r="AL311"/>
  <c r="AL312"/>
  <c r="AQ312" s="1"/>
  <c r="AL313"/>
  <c r="AQ313" s="1"/>
  <c r="AL316"/>
  <c r="AP319"/>
  <c r="N319"/>
  <c r="P323"/>
  <c r="T323" s="1"/>
  <c r="AQ323" s="1"/>
  <c r="P324"/>
  <c r="T324" s="1"/>
  <c r="P326"/>
  <c r="T326" s="1"/>
  <c r="AL327"/>
  <c r="AF330"/>
  <c r="AP330"/>
  <c r="AJ335"/>
  <c r="AL335" s="1"/>
  <c r="AQ335" s="1"/>
  <c r="AJ336"/>
  <c r="AL336" s="1"/>
  <c r="AQ336" s="1"/>
  <c r="AL341"/>
  <c r="P342"/>
  <c r="T342" s="1"/>
  <c r="AQ342" s="1"/>
  <c r="P343"/>
  <c r="T343" s="1"/>
  <c r="AQ343" s="1"/>
  <c r="P344"/>
  <c r="T344" s="1"/>
  <c r="AQ344" s="1"/>
  <c r="AL344"/>
  <c r="P345"/>
  <c r="T345" s="1"/>
  <c r="AL345"/>
  <c r="P349"/>
  <c r="T349" s="1"/>
  <c r="AL349"/>
  <c r="P354"/>
  <c r="AL354"/>
  <c r="S353"/>
  <c r="AL357"/>
  <c r="P358"/>
  <c r="T358" s="1"/>
  <c r="AL385"/>
  <c r="AQ385" s="1"/>
  <c r="AJ450"/>
  <c r="AQ35"/>
  <c r="AQ34" s="1"/>
  <c r="T34"/>
  <c r="T169"/>
  <c r="AF25"/>
  <c r="AQ164"/>
  <c r="AP183"/>
  <c r="T147"/>
  <c r="T156"/>
  <c r="AQ277"/>
  <c r="AI7"/>
  <c r="S40"/>
  <c r="S36" s="1"/>
  <c r="AI144"/>
  <c r="M146"/>
  <c r="P176"/>
  <c r="T176" s="1"/>
  <c r="S183"/>
  <c r="AQ214"/>
  <c r="AP243"/>
  <c r="T272"/>
  <c r="T337"/>
  <c r="AQ338"/>
  <c r="T217"/>
  <c r="AQ217" s="1"/>
  <c r="F213"/>
  <c r="AQ275"/>
  <c r="AQ283"/>
  <c r="T752"/>
  <c r="AI55"/>
  <c r="AI146"/>
  <c r="S156"/>
  <c r="S146" s="1"/>
  <c r="S166"/>
  <c r="P172"/>
  <c r="T172" s="1"/>
  <c r="AQ172" s="1"/>
  <c r="AP310"/>
  <c r="M340"/>
  <c r="T463"/>
  <c r="AL533"/>
  <c r="AI243"/>
  <c r="S261"/>
  <c r="M271"/>
  <c r="L310"/>
  <c r="AI310"/>
  <c r="M314"/>
  <c r="P314" s="1"/>
  <c r="AI328"/>
  <c r="AI319" s="1"/>
  <c r="S330"/>
  <c r="P331"/>
  <c r="AL333"/>
  <c r="AQ333" s="1"/>
  <c r="AJ334"/>
  <c r="AI337"/>
  <c r="AL342"/>
  <c r="AQ350"/>
  <c r="AF529"/>
  <c r="AG330"/>
  <c r="AP340"/>
  <c r="S340"/>
  <c r="AQ461"/>
  <c r="AL531"/>
  <c r="AQ532"/>
  <c r="AQ531" s="1"/>
  <c r="AP368"/>
  <c r="AL379"/>
  <c r="AQ412"/>
  <c r="M257"/>
  <c r="S267"/>
  <c r="AI271"/>
  <c r="AL329"/>
  <c r="AI340"/>
  <c r="AP430"/>
  <c r="N351"/>
  <c r="P351" s="1"/>
  <c r="N352"/>
  <c r="P352" s="1"/>
  <c r="T352" s="1"/>
  <c r="S368"/>
  <c r="AI379"/>
  <c r="AJ389"/>
  <c r="AL389" s="1"/>
  <c r="AQ389" s="1"/>
  <c r="AJ396"/>
  <c r="AL396" s="1"/>
  <c r="AQ396" s="1"/>
  <c r="N411"/>
  <c r="AI411"/>
  <c r="S430"/>
  <c r="AI458"/>
  <c r="AH508"/>
  <c r="AJ509"/>
  <c r="AJ508" s="1"/>
  <c r="AB538"/>
  <c r="AJ353"/>
  <c r="AJ374"/>
  <c r="AF381"/>
  <c r="S429"/>
  <c r="S411" s="1"/>
  <c r="AJ430"/>
  <c r="AI509"/>
  <c r="AI508" s="1"/>
  <c r="AQ458" l="1"/>
  <c r="P144"/>
  <c r="AL458"/>
  <c r="AQ533"/>
  <c r="AQ15"/>
  <c r="AQ352"/>
  <c r="AQ757" s="1"/>
  <c r="T743"/>
  <c r="T468"/>
  <c r="T747" s="1"/>
  <c r="T267"/>
  <c r="T748" s="1"/>
  <c r="T471"/>
  <c r="T750" s="1"/>
  <c r="P411"/>
  <c r="AL25"/>
  <c r="S25"/>
  <c r="AI381"/>
  <c r="AQ346"/>
  <c r="AQ324"/>
  <c r="T731"/>
  <c r="T183"/>
  <c r="AQ345"/>
  <c r="P430"/>
  <c r="T753"/>
  <c r="P353"/>
  <c r="P271"/>
  <c r="T755"/>
  <c r="AL15"/>
  <c r="T746"/>
  <c r="AL382"/>
  <c r="AQ382" s="1"/>
  <c r="AQ394"/>
  <c r="T429"/>
  <c r="T411" s="1"/>
  <c r="S165"/>
  <c r="AQ337"/>
  <c r="T734"/>
  <c r="T745"/>
  <c r="AQ353"/>
  <c r="T737"/>
  <c r="AQ374"/>
  <c r="T751"/>
  <c r="T353"/>
  <c r="AL353"/>
  <c r="AQ7"/>
  <c r="AL271"/>
  <c r="AL411"/>
  <c r="AL430"/>
  <c r="AL321"/>
  <c r="AQ321" s="1"/>
  <c r="AL374"/>
  <c r="T744"/>
  <c r="AL7"/>
  <c r="AL36"/>
  <c r="AI330"/>
  <c r="P458"/>
  <c r="T430"/>
  <c r="AQ753"/>
  <c r="T741"/>
  <c r="AQ36"/>
  <c r="T735"/>
  <c r="T749"/>
  <c r="AQ430"/>
  <c r="AL340"/>
  <c r="AL243"/>
  <c r="P243"/>
  <c r="P146"/>
  <c r="P36"/>
  <c r="AQ25"/>
  <c r="T261"/>
  <c r="AQ738" s="1"/>
  <c r="AJ330"/>
  <c r="M310"/>
  <c r="S257"/>
  <c r="AQ55"/>
  <c r="T736"/>
  <c r="AL257"/>
  <c r="P257"/>
  <c r="AL334"/>
  <c r="AQ334" s="1"/>
  <c r="T319"/>
  <c r="T742"/>
  <c r="P319"/>
  <c r="AL55"/>
  <c r="AQ734"/>
  <c r="AL337"/>
  <c r="AQ349"/>
  <c r="AP381"/>
  <c r="AL310"/>
  <c r="AL450"/>
  <c r="AL146"/>
  <c r="T351"/>
  <c r="T340" s="1"/>
  <c r="P340"/>
  <c r="T314"/>
  <c r="P310"/>
  <c r="AQ341"/>
  <c r="T331"/>
  <c r="P330"/>
  <c r="T40"/>
  <c r="N340"/>
  <c r="T757"/>
  <c r="AQ213"/>
  <c r="P165"/>
  <c r="T733"/>
  <c r="AQ243"/>
  <c r="T729"/>
  <c r="T271"/>
  <c r="AQ272"/>
  <c r="T166"/>
  <c r="AL509"/>
  <c r="AJ381"/>
  <c r="AL328"/>
  <c r="AQ328" s="1"/>
  <c r="T740"/>
  <c r="T243"/>
  <c r="AB529"/>
  <c r="AQ332"/>
  <c r="AQ258"/>
  <c r="AQ147"/>
  <c r="T146"/>
  <c r="AQ145"/>
  <c r="T144"/>
  <c r="T213"/>
  <c r="AL165"/>
  <c r="T754" l="1"/>
  <c r="AL381"/>
  <c r="AQ745"/>
  <c r="T738"/>
  <c r="T458"/>
  <c r="AQ381"/>
  <c r="AQ319"/>
  <c r="T257"/>
  <c r="AK330"/>
  <c r="AL330"/>
  <c r="AQ755"/>
  <c r="AQ314"/>
  <c r="T739"/>
  <c r="T310"/>
  <c r="AL319"/>
  <c r="AQ509"/>
  <c r="AL508"/>
  <c r="T165"/>
  <c r="T730"/>
  <c r="T36"/>
  <c r="T732"/>
  <c r="AQ351"/>
  <c r="AQ756" s="1"/>
  <c r="T756"/>
  <c r="AQ144"/>
  <c r="AQ271"/>
  <c r="T330"/>
  <c r="AQ331"/>
  <c r="AQ340" l="1"/>
  <c r="AQ330"/>
  <c r="AQ732"/>
  <c r="AQ508"/>
  <c r="AQ310"/>
</calcChain>
</file>

<file path=xl/sharedStrings.xml><?xml version="1.0" encoding="utf-8"?>
<sst xmlns="http://schemas.openxmlformats.org/spreadsheetml/2006/main" count="864" uniqueCount="156">
  <si>
    <t xml:space="preserve"> </t>
  </si>
  <si>
    <t>февраль</t>
  </si>
  <si>
    <t>март</t>
  </si>
  <si>
    <t>май</t>
  </si>
  <si>
    <t>июнь</t>
  </si>
  <si>
    <t>Показатели</t>
  </si>
  <si>
    <t>Ед. изм.</t>
  </si>
  <si>
    <t>план (физ.объем)</t>
  </si>
  <si>
    <t>план (тыс.руб.)</t>
  </si>
  <si>
    <t>факт (физ.объем)</t>
  </si>
  <si>
    <t>факт мат.(тыс.руб.)</t>
  </si>
  <si>
    <t>мат-лы</t>
  </si>
  <si>
    <t>З/плата</t>
  </si>
  <si>
    <t>ЕСН</t>
  </si>
  <si>
    <t>Н.Р.</t>
  </si>
  <si>
    <t>прочие</t>
  </si>
  <si>
    <t>Ремонт кровли</t>
  </si>
  <si>
    <t>т.м.кв.</t>
  </si>
  <si>
    <t>16/09.</t>
  </si>
  <si>
    <t>ППР кровли</t>
  </si>
  <si>
    <t>дом</t>
  </si>
  <si>
    <t>11/01.</t>
  </si>
  <si>
    <t>11/06.</t>
  </si>
  <si>
    <t>11/12.</t>
  </si>
  <si>
    <t>11/25.</t>
  </si>
  <si>
    <t>16/02.</t>
  </si>
  <si>
    <t>16/14.</t>
  </si>
  <si>
    <t>16/15.</t>
  </si>
  <si>
    <t>16/17</t>
  </si>
  <si>
    <t>16/18.</t>
  </si>
  <si>
    <t>Ремонт квартир</t>
  </si>
  <si>
    <t>кв.</t>
  </si>
  <si>
    <t>перечис.</t>
  </si>
  <si>
    <t>Ремонт с/отопления ниже 0.00</t>
  </si>
  <si>
    <t>Ремонт с/отопления выше 0.00</t>
  </si>
  <si>
    <t>т.п.м.</t>
  </si>
  <si>
    <t>11/09.</t>
  </si>
  <si>
    <t>11/11.</t>
  </si>
  <si>
    <t>11/14.</t>
  </si>
  <si>
    <t>б/с</t>
  </si>
  <si>
    <t>11/27.</t>
  </si>
  <si>
    <t>11/32.</t>
  </si>
  <si>
    <t>Ревизия отопления</t>
  </si>
  <si>
    <t>11/03.</t>
  </si>
  <si>
    <t>11/07.</t>
  </si>
  <si>
    <t>11/17.</t>
  </si>
  <si>
    <t>11/24.</t>
  </si>
  <si>
    <t>11/26.</t>
  </si>
  <si>
    <t>11/31.</t>
  </si>
  <si>
    <t>11/33.</t>
  </si>
  <si>
    <t>16/01.</t>
  </si>
  <si>
    <t>16/03.</t>
  </si>
  <si>
    <t>16/08.</t>
  </si>
  <si>
    <t>16/10.</t>
  </si>
  <si>
    <t>16/11.</t>
  </si>
  <si>
    <t>16/12.</t>
  </si>
  <si>
    <t>16/13.</t>
  </si>
  <si>
    <t>16/17.</t>
  </si>
  <si>
    <t>Промывка системы отопления</t>
  </si>
  <si>
    <t>Регулировка системы отопления при запуске тепла</t>
  </si>
  <si>
    <t>Установка водоподогревателей</t>
  </si>
  <si>
    <t>Ремонт ХВС ниже 0.00</t>
  </si>
  <si>
    <t>Ремонт ГВС ниже 0.00</t>
  </si>
  <si>
    <t>Ремонт ХВС выше 0.00</t>
  </si>
  <si>
    <t>Ремонт ГВС выше 0.00</t>
  </si>
  <si>
    <t>16/13</t>
  </si>
  <si>
    <t>Ревизия ХВС</t>
  </si>
  <si>
    <t>Ревизия ГВС</t>
  </si>
  <si>
    <t>Ремонт с/канализации ниже 0.00</t>
  </si>
  <si>
    <t>Ремонт с/канализации выше 0.00</t>
  </si>
  <si>
    <t>Ревизия канализации</t>
  </si>
  <si>
    <t>Ремонт оконных переплетов</t>
  </si>
  <si>
    <t>шт.</t>
  </si>
  <si>
    <t>Замена стекла</t>
  </si>
  <si>
    <t>исп.</t>
  </si>
  <si>
    <t>Установка тамбурных м/этажных дверей</t>
  </si>
  <si>
    <t>16/15</t>
  </si>
  <si>
    <t>16/18</t>
  </si>
  <si>
    <t xml:space="preserve">Ремонт тамбуров </t>
  </si>
  <si>
    <t>под.</t>
  </si>
  <si>
    <t>Установка пружин</t>
  </si>
  <si>
    <t>исп</t>
  </si>
  <si>
    <t>Ремонт л/ клеток</t>
  </si>
  <si>
    <t>Замена почтовых ящиков</t>
  </si>
  <si>
    <t>Ремонт тех.подполий, этажей, шахт, маш./отделений</t>
  </si>
  <si>
    <t xml:space="preserve">11/01. </t>
  </si>
  <si>
    <t xml:space="preserve">11/06. </t>
  </si>
  <si>
    <t>убрать</t>
  </si>
  <si>
    <t>э/тов.</t>
  </si>
  <si>
    <t>Ремонт крылец</t>
  </si>
  <si>
    <t>пандус</t>
  </si>
  <si>
    <t>Покраска входов</t>
  </si>
  <si>
    <t>11/33-1,2п.</t>
  </si>
  <si>
    <t>Замена металлических дверей на утеплённые</t>
  </si>
  <si>
    <t>Подвалы</t>
  </si>
  <si>
    <t>Мусорокамеры</t>
  </si>
  <si>
    <t>Входные</t>
  </si>
  <si>
    <t>Теплоизоляция трубопроводов ГВС ниже 0.00</t>
  </si>
  <si>
    <t>Ремонт фасада</t>
  </si>
  <si>
    <t>Ремонт м/панельных швов</t>
  </si>
  <si>
    <t>Ремонт отмосток</t>
  </si>
  <si>
    <t>Покраска МАФов</t>
  </si>
  <si>
    <t>Установка скамеек</t>
  </si>
  <si>
    <t>Ямочный ремонт внутриквартальных дорог</t>
  </si>
  <si>
    <t>Ремонт пешеходных тротуаров</t>
  </si>
  <si>
    <t>Спил и омолаживание деревьев</t>
  </si>
  <si>
    <t>Отлов безнадзорных животных</t>
  </si>
  <si>
    <t>Завоз песка на детские площадки</t>
  </si>
  <si>
    <t>тн.</t>
  </si>
  <si>
    <t>Ремонтный фонд</t>
  </si>
  <si>
    <t>Кредиторская задолженность</t>
  </si>
  <si>
    <t>АВР</t>
  </si>
  <si>
    <t>ЦДС</t>
  </si>
  <si>
    <t>Прочие расходы</t>
  </si>
  <si>
    <t>План</t>
  </si>
  <si>
    <t>Факт</t>
  </si>
  <si>
    <t>Объем</t>
  </si>
  <si>
    <t>Сумма</t>
  </si>
  <si>
    <t>т.кв.м.</t>
  </si>
  <si>
    <t>11/01</t>
  </si>
  <si>
    <t>11/11</t>
  </si>
  <si>
    <t>11/24</t>
  </si>
  <si>
    <t>11/27</t>
  </si>
  <si>
    <t>16/01</t>
  </si>
  <si>
    <t xml:space="preserve"> Отчет по текущему ремонту за 6 месяцев 2013г. ООО "Центр"</t>
  </si>
  <si>
    <t>16/08</t>
  </si>
  <si>
    <t>Ремонт козырьков перед входом в подъезд</t>
  </si>
  <si>
    <t>11/31</t>
  </si>
  <si>
    <t>16/09</t>
  </si>
  <si>
    <t>16/10</t>
  </si>
  <si>
    <t>11/07</t>
  </si>
  <si>
    <t>11/09</t>
  </si>
  <si>
    <t>11/14</t>
  </si>
  <si>
    <t>11/25</t>
  </si>
  <si>
    <t>11/33</t>
  </si>
  <si>
    <t>16/03</t>
  </si>
  <si>
    <t>16/14</t>
  </si>
  <si>
    <t>т.м.п.</t>
  </si>
  <si>
    <t>11/03</t>
  </si>
  <si>
    <t>11/06</t>
  </si>
  <si>
    <t>11/17</t>
  </si>
  <si>
    <t>11/26</t>
  </si>
  <si>
    <t>11/12</t>
  </si>
  <si>
    <t>11/32</t>
  </si>
  <si>
    <t>16/11</t>
  </si>
  <si>
    <t>16/12</t>
  </si>
  <si>
    <t>16/02</t>
  </si>
  <si>
    <t>Ремонт тамбурных,м/этажных  дверей</t>
  </si>
  <si>
    <t>Ремонт отопления на л/клетках</t>
  </si>
  <si>
    <t>Ремонт ограждений л/клетки</t>
  </si>
  <si>
    <t>Ремонт водоснабжения в м/камерах</t>
  </si>
  <si>
    <t>Восстановление водоотведения в м/камерах</t>
  </si>
  <si>
    <t>Установка элементов хоз. площадок</t>
  </si>
  <si>
    <t>Установка элементов детских площадок</t>
  </si>
  <si>
    <t>тыс.руб.</t>
  </si>
  <si>
    <t>Итого по домам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</si>
</sst>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"/>
    <numFmt numFmtId="166" formatCode="0.0000"/>
    <numFmt numFmtId="167" formatCode="0.0"/>
  </numFmts>
  <fonts count="9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164" fontId="3" fillId="0" borderId="1" xfId="0" applyNumberFormat="1" applyFont="1" applyFill="1" applyBorder="1" applyAlignment="1"/>
    <xf numFmtId="0" fontId="3" fillId="0" borderId="0" xfId="0" applyFont="1" applyFill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justify"/>
    </xf>
    <xf numFmtId="0" fontId="4" fillId="0" borderId="0" xfId="0" applyFont="1" applyFill="1"/>
    <xf numFmtId="0" fontId="4" fillId="0" borderId="0" xfId="0" applyFont="1"/>
    <xf numFmtId="164" fontId="3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justify"/>
    </xf>
    <xf numFmtId="164" fontId="3" fillId="0" borderId="1" xfId="0" applyNumberFormat="1" applyFont="1" applyFill="1" applyBorder="1" applyAlignment="1">
      <alignment vertical="justify"/>
    </xf>
    <xf numFmtId="0" fontId="3" fillId="0" borderId="1" xfId="0" applyFont="1" applyFill="1" applyBorder="1" applyAlignment="1"/>
    <xf numFmtId="164" fontId="3" fillId="0" borderId="0" xfId="0" applyNumberFormat="1" applyFont="1" applyFill="1"/>
    <xf numFmtId="0" fontId="0" fillId="0" borderId="1" xfId="0" applyFont="1" applyFill="1" applyBorder="1"/>
    <xf numFmtId="165" fontId="3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/>
    <xf numFmtId="0" fontId="5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/>
    <xf numFmtId="164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166" fontId="3" fillId="0" borderId="1" xfId="0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7" fillId="0" borderId="1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justify"/>
    </xf>
    <xf numFmtId="164" fontId="7" fillId="0" borderId="1" xfId="0" applyNumberFormat="1" applyFont="1" applyFill="1" applyBorder="1" applyAlignment="1">
      <alignment vertical="justify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 vertical="justify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/>
    <xf numFmtId="167" fontId="7" fillId="0" borderId="1" xfId="0" applyNumberFormat="1" applyFont="1" applyFill="1" applyBorder="1" applyAlignment="1">
      <alignment vertical="justify"/>
    </xf>
    <xf numFmtId="167" fontId="3" fillId="0" borderId="1" xfId="0" applyNumberFormat="1" applyFont="1" applyFill="1" applyBorder="1" applyAlignment="1">
      <alignment vertical="justify"/>
    </xf>
    <xf numFmtId="49" fontId="7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/>
    <xf numFmtId="167" fontId="7" fillId="0" borderId="1" xfId="0" applyNumberFormat="1" applyFont="1" applyFill="1" applyBorder="1"/>
    <xf numFmtId="1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/>
    <xf numFmtId="2" fontId="3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justify"/>
    </xf>
    <xf numFmtId="0" fontId="8" fillId="0" borderId="1" xfId="0" applyFont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759"/>
  <sheetViews>
    <sheetView tabSelected="1" zoomScaleNormal="100" zoomScaleSheetLayoutView="110" workbookViewId="0">
      <selection activeCell="AO608" sqref="AO608"/>
    </sheetView>
  </sheetViews>
  <sheetFormatPr defaultRowHeight="12.75"/>
  <cols>
    <col min="1" max="1" width="39.28515625" style="3" customWidth="1"/>
    <col min="2" max="2" width="8.5703125" style="13" customWidth="1"/>
    <col min="3" max="4" width="9.140625" style="3" hidden="1" customWidth="1"/>
    <col min="5" max="5" width="10.42578125" style="3" hidden="1" customWidth="1"/>
    <col min="6" max="6" width="12" style="3" hidden="1" customWidth="1"/>
    <col min="7" max="8" width="9.140625" style="3" hidden="1" customWidth="1"/>
    <col min="9" max="9" width="10.42578125" style="3" hidden="1" customWidth="1"/>
    <col min="10" max="10" width="12" style="3" hidden="1" customWidth="1"/>
    <col min="11" max="11" width="7.85546875" style="3" hidden="1" customWidth="1"/>
    <col min="12" max="12" width="6.7109375" style="3" hidden="1" customWidth="1"/>
    <col min="13" max="13" width="8.140625" style="3" hidden="1" customWidth="1"/>
    <col min="14" max="14" width="6.42578125" style="3" hidden="1" customWidth="1"/>
    <col min="15" max="15" width="8" style="3" hidden="1" customWidth="1"/>
    <col min="16" max="16" width="8.7109375" style="3" hidden="1" customWidth="1"/>
    <col min="17" max="18" width="9.140625" style="3" hidden="1" customWidth="1"/>
    <col min="19" max="19" width="10.42578125" style="3" hidden="1" customWidth="1"/>
    <col min="20" max="20" width="12" style="3" hidden="1" customWidth="1"/>
    <col min="21" max="21" width="9.140625" style="3" hidden="1" customWidth="1"/>
    <col min="22" max="22" width="11.42578125" style="3" hidden="1" customWidth="1"/>
    <col min="23" max="23" width="10.42578125" style="3" hidden="1" customWidth="1"/>
    <col min="24" max="24" width="12" style="3" hidden="1" customWidth="1"/>
    <col min="25" max="25" width="10.42578125" style="3" hidden="1" customWidth="1"/>
    <col min="26" max="26" width="12" style="3" hidden="1" customWidth="1"/>
    <col min="27" max="27" width="10.42578125" style="3" hidden="1" customWidth="1"/>
    <col min="28" max="28" width="12" style="3" hidden="1" customWidth="1"/>
    <col min="29" max="29" width="10.42578125" style="3" hidden="1" customWidth="1"/>
    <col min="30" max="30" width="12" style="3" hidden="1" customWidth="1"/>
    <col min="31" max="31" width="4.85546875" style="12" hidden="1" customWidth="1"/>
    <col min="32" max="32" width="10.42578125" style="3" hidden="1" customWidth="1"/>
    <col min="33" max="33" width="7.85546875" style="3" hidden="1" customWidth="1"/>
    <col min="34" max="34" width="6.7109375" style="3" hidden="1" customWidth="1"/>
    <col min="35" max="35" width="8.140625" style="3" hidden="1" customWidth="1"/>
    <col min="36" max="36" width="6.42578125" style="3" hidden="1" customWidth="1"/>
    <col min="37" max="37" width="8" style="3" hidden="1" customWidth="1"/>
    <col min="38" max="38" width="8.7109375" style="3" hidden="1" customWidth="1"/>
    <col min="39" max="39" width="4.28515625" style="2" hidden="1" customWidth="1"/>
    <col min="40" max="41" width="9.140625" style="3" customWidth="1"/>
    <col min="42" max="42" width="10.42578125" style="3" customWidth="1"/>
    <col min="43" max="43" width="12" style="3" customWidth="1"/>
    <col min="44" max="16384" width="9.140625" style="1"/>
  </cols>
  <sheetData>
    <row r="2" spans="1:43" ht="15">
      <c r="A2" s="57" t="s">
        <v>124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>
      <c r="A3" s="3" t="s">
        <v>0</v>
      </c>
      <c r="E3" s="3" t="s">
        <v>1</v>
      </c>
      <c r="I3" s="3" t="s">
        <v>2</v>
      </c>
      <c r="Y3" s="13" t="s">
        <v>3</v>
      </c>
      <c r="Z3" s="13"/>
      <c r="AA3" s="13" t="s">
        <v>4</v>
      </c>
      <c r="AB3" s="13"/>
      <c r="AC3" s="3" t="s">
        <v>4</v>
      </c>
      <c r="AF3" s="13" t="s">
        <v>3</v>
      </c>
    </row>
    <row r="4" spans="1:43" ht="12" customHeight="1">
      <c r="A4" s="61" t="s">
        <v>5</v>
      </c>
      <c r="B4" s="61" t="s">
        <v>6</v>
      </c>
      <c r="C4" s="59" t="s">
        <v>7</v>
      </c>
      <c r="D4" s="59" t="s">
        <v>8</v>
      </c>
      <c r="E4" s="59" t="s">
        <v>9</v>
      </c>
      <c r="F4" s="59" t="s">
        <v>10</v>
      </c>
      <c r="G4" s="59" t="s">
        <v>7</v>
      </c>
      <c r="H4" s="59" t="s">
        <v>8</v>
      </c>
      <c r="I4" s="59" t="s">
        <v>9</v>
      </c>
      <c r="J4" s="59" t="s">
        <v>10</v>
      </c>
      <c r="K4" s="59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/>
      <c r="Q4" s="59" t="s">
        <v>7</v>
      </c>
      <c r="R4" s="59" t="s">
        <v>8</v>
      </c>
      <c r="S4" s="59" t="s">
        <v>9</v>
      </c>
      <c r="T4" s="59" t="s">
        <v>10</v>
      </c>
      <c r="U4" s="30"/>
      <c r="V4" s="30"/>
      <c r="W4" s="59" t="s">
        <v>9</v>
      </c>
      <c r="X4" s="59" t="s">
        <v>10</v>
      </c>
      <c r="Y4" s="59" t="s">
        <v>9</v>
      </c>
      <c r="Z4" s="59" t="s">
        <v>10</v>
      </c>
      <c r="AA4" s="59" t="s">
        <v>9</v>
      </c>
      <c r="AB4" s="59" t="s">
        <v>10</v>
      </c>
      <c r="AC4" s="59" t="s">
        <v>9</v>
      </c>
      <c r="AD4" s="59" t="s">
        <v>10</v>
      </c>
      <c r="AE4" s="31"/>
      <c r="AF4" s="59" t="s">
        <v>9</v>
      </c>
      <c r="AG4" s="59" t="s">
        <v>11</v>
      </c>
      <c r="AH4" s="59" t="s">
        <v>12</v>
      </c>
      <c r="AI4" s="59" t="s">
        <v>13</v>
      </c>
      <c r="AJ4" s="59" t="s">
        <v>14</v>
      </c>
      <c r="AK4" s="59" t="s">
        <v>15</v>
      </c>
      <c r="AL4" s="59"/>
      <c r="AM4" s="32"/>
      <c r="AN4" s="59" t="s">
        <v>114</v>
      </c>
      <c r="AO4" s="60"/>
      <c r="AP4" s="59" t="s">
        <v>115</v>
      </c>
      <c r="AQ4" s="60"/>
    </row>
    <row r="5" spans="1:43" ht="12.75" customHeight="1">
      <c r="A5" s="61"/>
      <c r="B5" s="61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30"/>
      <c r="V5" s="30"/>
      <c r="W5" s="59"/>
      <c r="X5" s="59"/>
      <c r="Y5" s="59"/>
      <c r="Z5" s="59"/>
      <c r="AA5" s="59"/>
      <c r="AB5" s="59"/>
      <c r="AC5" s="59"/>
      <c r="AD5" s="59"/>
      <c r="AE5" s="31"/>
      <c r="AF5" s="59"/>
      <c r="AG5" s="59"/>
      <c r="AH5" s="59"/>
      <c r="AI5" s="59"/>
      <c r="AJ5" s="59"/>
      <c r="AK5" s="59"/>
      <c r="AL5" s="59"/>
      <c r="AM5" s="32"/>
      <c r="AN5" s="59" t="s">
        <v>116</v>
      </c>
      <c r="AO5" s="59" t="s">
        <v>117</v>
      </c>
      <c r="AP5" s="59" t="s">
        <v>116</v>
      </c>
      <c r="AQ5" s="59" t="s">
        <v>117</v>
      </c>
    </row>
    <row r="6" spans="1:43" ht="12.75" customHeight="1">
      <c r="A6" s="61"/>
      <c r="B6" s="61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30"/>
      <c r="V6" s="30"/>
      <c r="W6" s="59"/>
      <c r="X6" s="59"/>
      <c r="Y6" s="59"/>
      <c r="Z6" s="59"/>
      <c r="AA6" s="59"/>
      <c r="AB6" s="59"/>
      <c r="AC6" s="59"/>
      <c r="AD6" s="59"/>
      <c r="AE6" s="31"/>
      <c r="AF6" s="59"/>
      <c r="AG6" s="59"/>
      <c r="AH6" s="59"/>
      <c r="AI6" s="59"/>
      <c r="AJ6" s="59"/>
      <c r="AK6" s="59"/>
      <c r="AL6" s="59"/>
      <c r="AM6" s="32"/>
      <c r="AN6" s="60"/>
      <c r="AO6" s="60"/>
      <c r="AP6" s="60"/>
      <c r="AQ6" s="60"/>
    </row>
    <row r="7" spans="1:43" ht="13.5" customHeight="1">
      <c r="A7" s="39" t="s">
        <v>16</v>
      </c>
      <c r="B7" s="33" t="s">
        <v>118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7"/>
      <c r="X7" s="7"/>
      <c r="Y7" s="7"/>
      <c r="Z7" s="7"/>
      <c r="AA7" s="7"/>
      <c r="AB7" s="7"/>
      <c r="AC7" s="7"/>
      <c r="AD7" s="7"/>
      <c r="AE7" s="19"/>
      <c r="AF7" s="7"/>
      <c r="AG7" s="7">
        <f t="shared" ref="AG7:AL7" si="0">SUM(AG8:AG14)</f>
        <v>18.408000000000001</v>
      </c>
      <c r="AH7" s="7">
        <f t="shared" si="0"/>
        <v>3.8839999999999995</v>
      </c>
      <c r="AI7" s="7">
        <f t="shared" si="0"/>
        <v>0.78499999999999992</v>
      </c>
      <c r="AJ7" s="7">
        <f t="shared" si="0"/>
        <v>3.1610000000000005</v>
      </c>
      <c r="AK7" s="7">
        <f t="shared" si="0"/>
        <v>0.11099999999999999</v>
      </c>
      <c r="AL7" s="7">
        <f t="shared" si="0"/>
        <v>26.349999999999998</v>
      </c>
      <c r="AM7" s="7"/>
      <c r="AN7" s="38">
        <v>0</v>
      </c>
      <c r="AO7" s="38">
        <v>0</v>
      </c>
      <c r="AP7" s="35">
        <f>SUM(AP8:AP14)</f>
        <v>0.1016</v>
      </c>
      <c r="AQ7" s="34">
        <f>SUM(AQ8:AQ14)</f>
        <v>32.410999999999994</v>
      </c>
    </row>
    <row r="8" spans="1:43" ht="13.5" customHeight="1">
      <c r="A8" s="36" t="s">
        <v>119</v>
      </c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7"/>
      <c r="X8" s="7"/>
      <c r="Y8" s="7"/>
      <c r="Z8" s="7"/>
      <c r="AA8" s="7"/>
      <c r="AB8" s="7"/>
      <c r="AC8" s="7"/>
      <c r="AD8" s="7"/>
      <c r="AE8" s="19"/>
      <c r="AF8" s="15">
        <v>4.4999999999999997E-3</v>
      </c>
      <c r="AG8" s="15">
        <v>1.0029999999999999</v>
      </c>
      <c r="AH8" s="15">
        <v>0.21199999999999999</v>
      </c>
      <c r="AI8" s="4">
        <f>ROUND((AH8)*0.202,3)</f>
        <v>4.2999999999999997E-2</v>
      </c>
      <c r="AJ8" s="21">
        <f>ROUND((AH8)*0.8138,3)-0.001</f>
        <v>0.17199999999999999</v>
      </c>
      <c r="AK8" s="15">
        <v>6.0000000000000001E-3</v>
      </c>
      <c r="AL8" s="10">
        <f>SUM(AG8:AK8)</f>
        <v>1.4359999999999997</v>
      </c>
      <c r="AM8" s="15"/>
      <c r="AN8" s="15">
        <v>0</v>
      </c>
      <c r="AO8" s="15">
        <v>0</v>
      </c>
      <c r="AP8" s="15">
        <f>AF8</f>
        <v>4.4999999999999997E-3</v>
      </c>
      <c r="AQ8" s="16">
        <f>AL8</f>
        <v>1.4359999999999997</v>
      </c>
    </row>
    <row r="9" spans="1:43" ht="13.5" customHeight="1">
      <c r="A9" s="36" t="s">
        <v>120</v>
      </c>
      <c r="B9" s="1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7"/>
      <c r="X9" s="7"/>
      <c r="Y9" s="7"/>
      <c r="Z9" s="7"/>
      <c r="AA9" s="7"/>
      <c r="AB9" s="7"/>
      <c r="AC9" s="7"/>
      <c r="AD9" s="7"/>
      <c r="AE9" s="19"/>
      <c r="AF9" s="15">
        <v>1.9E-2</v>
      </c>
      <c r="AG9" s="15">
        <v>4.234</v>
      </c>
      <c r="AH9" s="15">
        <v>0.89300000000000002</v>
      </c>
      <c r="AI9" s="4">
        <f>ROUND((AH9)*0.202,3)</f>
        <v>0.18</v>
      </c>
      <c r="AJ9" s="21">
        <f t="shared" ref="AJ9:AJ14" si="1">ROUND((AH9)*0.8138,3)</f>
        <v>0.72699999999999998</v>
      </c>
      <c r="AK9" s="15">
        <v>2.5999999999999999E-2</v>
      </c>
      <c r="AL9" s="10">
        <f>SUM(AG9:AK9)+0.001</f>
        <v>6.0609999999999999</v>
      </c>
      <c r="AM9" s="15"/>
      <c r="AN9" s="15">
        <v>0</v>
      </c>
      <c r="AO9" s="15">
        <v>0</v>
      </c>
      <c r="AP9" s="15">
        <f t="shared" ref="AP9:AP14" si="2">AF9</f>
        <v>1.9E-2</v>
      </c>
      <c r="AQ9" s="16">
        <f t="shared" ref="AQ9:AQ14" si="3">AL9</f>
        <v>6.0609999999999999</v>
      </c>
    </row>
    <row r="10" spans="1:43" ht="13.5" customHeight="1">
      <c r="A10" s="36" t="s">
        <v>121</v>
      </c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7"/>
      <c r="X10" s="7"/>
      <c r="Y10" s="7"/>
      <c r="Z10" s="7"/>
      <c r="AA10" s="7"/>
      <c r="AB10" s="7"/>
      <c r="AC10" s="7"/>
      <c r="AD10" s="7"/>
      <c r="AE10" s="19"/>
      <c r="AF10" s="15">
        <v>1.1000000000000001E-3</v>
      </c>
      <c r="AG10" s="15">
        <v>0.245</v>
      </c>
      <c r="AH10" s="15">
        <v>5.1999999999999998E-2</v>
      </c>
      <c r="AI10" s="4">
        <f>ROUND((AH10)*0.202,3)</f>
        <v>1.0999999999999999E-2</v>
      </c>
      <c r="AJ10" s="21">
        <f t="shared" si="1"/>
        <v>4.2000000000000003E-2</v>
      </c>
      <c r="AK10" s="15">
        <v>1E-3</v>
      </c>
      <c r="AL10" s="10">
        <f>SUM(AG10:AK10)</f>
        <v>0.35099999999999998</v>
      </c>
      <c r="AM10" s="15"/>
      <c r="AN10" s="15">
        <v>0</v>
      </c>
      <c r="AO10" s="15">
        <v>0</v>
      </c>
      <c r="AP10" s="15">
        <f t="shared" si="2"/>
        <v>1.1000000000000001E-3</v>
      </c>
      <c r="AQ10" s="16">
        <f t="shared" si="3"/>
        <v>0.35099999999999998</v>
      </c>
    </row>
    <row r="11" spans="1:43" ht="13.5" customHeight="1">
      <c r="A11" s="36" t="s">
        <v>122</v>
      </c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7"/>
      <c r="X11" s="7"/>
      <c r="Y11" s="7"/>
      <c r="Z11" s="7"/>
      <c r="AA11" s="7"/>
      <c r="AB11" s="7"/>
      <c r="AC11" s="7"/>
      <c r="AD11" s="7"/>
      <c r="AE11" s="19"/>
      <c r="AF11" s="15">
        <v>3.8999999999999998E-3</v>
      </c>
      <c r="AG11" s="15">
        <v>0.86899999999999999</v>
      </c>
      <c r="AH11" s="15">
        <v>0.183</v>
      </c>
      <c r="AI11" s="4">
        <f>ROUND((AH11)*0.202,3)</f>
        <v>3.6999999999999998E-2</v>
      </c>
      <c r="AJ11" s="21">
        <f t="shared" si="1"/>
        <v>0.14899999999999999</v>
      </c>
      <c r="AK11" s="15">
        <v>5.0000000000000001E-3</v>
      </c>
      <c r="AL11" s="10">
        <f>SUM(AG11:AK11)+0.001</f>
        <v>1.2439999999999998</v>
      </c>
      <c r="AM11" s="15"/>
      <c r="AN11" s="15">
        <v>0</v>
      </c>
      <c r="AO11" s="15">
        <v>0</v>
      </c>
      <c r="AP11" s="15">
        <f t="shared" si="2"/>
        <v>3.8999999999999998E-3</v>
      </c>
      <c r="AQ11" s="16">
        <f t="shared" si="3"/>
        <v>1.2439999999999998</v>
      </c>
    </row>
    <row r="12" spans="1:43" ht="13.5" customHeight="1">
      <c r="A12" s="36" t="s">
        <v>123</v>
      </c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7"/>
      <c r="X12" s="7"/>
      <c r="Y12" s="7"/>
      <c r="Z12" s="7"/>
      <c r="AA12" s="7"/>
      <c r="AB12" s="7"/>
      <c r="AC12" s="7"/>
      <c r="AD12" s="7"/>
      <c r="AE12" s="19"/>
      <c r="AF12" s="15">
        <v>3.2000000000000001E-2</v>
      </c>
      <c r="AG12" s="15">
        <v>7.1319999999999997</v>
      </c>
      <c r="AH12" s="15">
        <v>1.5049999999999999</v>
      </c>
      <c r="AI12" s="4">
        <f t="shared" ref="AI12:AI14" si="4">ROUND((AH12)*0.202,3)</f>
        <v>0.30399999999999999</v>
      </c>
      <c r="AJ12" s="21">
        <f t="shared" si="1"/>
        <v>1.2250000000000001</v>
      </c>
      <c r="AK12" s="15">
        <v>4.2999999999999997E-2</v>
      </c>
      <c r="AL12" s="10">
        <f>SUM(AG12:AK12)-0.001</f>
        <v>10.208</v>
      </c>
      <c r="AM12" s="15"/>
      <c r="AN12" s="15">
        <v>0</v>
      </c>
      <c r="AO12" s="15">
        <v>0</v>
      </c>
      <c r="AP12" s="15">
        <f t="shared" si="2"/>
        <v>3.2000000000000001E-2</v>
      </c>
      <c r="AQ12" s="16">
        <f t="shared" si="3"/>
        <v>10.208</v>
      </c>
    </row>
    <row r="13" spans="1:43" ht="13.5" customHeight="1">
      <c r="A13" s="37" t="s">
        <v>125</v>
      </c>
      <c r="B13" s="1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7"/>
      <c r="X13" s="7"/>
      <c r="Y13" s="7"/>
      <c r="Z13" s="7"/>
      <c r="AA13" s="7"/>
      <c r="AB13" s="7"/>
      <c r="AC13" s="7"/>
      <c r="AD13" s="7"/>
      <c r="AE13" s="19"/>
      <c r="AF13" s="7"/>
      <c r="AG13" s="7"/>
      <c r="AH13" s="7"/>
      <c r="AI13" s="4">
        <f t="shared" si="4"/>
        <v>0</v>
      </c>
      <c r="AJ13" s="21">
        <f t="shared" si="1"/>
        <v>0</v>
      </c>
      <c r="AK13" s="7"/>
      <c r="AL13" s="10">
        <f t="shared" ref="AL13:AL14" si="5">SUM(AG13:AK13)</f>
        <v>0</v>
      </c>
      <c r="AM13" s="7"/>
      <c r="AN13" s="15">
        <v>0</v>
      </c>
      <c r="AO13" s="15">
        <v>0</v>
      </c>
      <c r="AP13" s="15">
        <v>1.9E-2</v>
      </c>
      <c r="AQ13" s="16">
        <v>6.0609999999999999</v>
      </c>
    </row>
    <row r="14" spans="1:43" ht="13.5" customHeight="1">
      <c r="A14" s="37" t="s">
        <v>65</v>
      </c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7"/>
      <c r="X14" s="7"/>
      <c r="Y14" s="7"/>
      <c r="Z14" s="7"/>
      <c r="AA14" s="7"/>
      <c r="AB14" s="7"/>
      <c r="AC14" s="7"/>
      <c r="AD14" s="7"/>
      <c r="AE14" s="19"/>
      <c r="AF14" s="15">
        <v>2.2100000000000002E-2</v>
      </c>
      <c r="AG14" s="15">
        <v>4.9249999999999998</v>
      </c>
      <c r="AH14" s="15">
        <v>1.0389999999999999</v>
      </c>
      <c r="AI14" s="4">
        <f t="shared" si="4"/>
        <v>0.21</v>
      </c>
      <c r="AJ14" s="27">
        <f t="shared" si="1"/>
        <v>0.84599999999999997</v>
      </c>
      <c r="AK14" s="15">
        <v>0.03</v>
      </c>
      <c r="AL14" s="10">
        <f t="shared" si="5"/>
        <v>7.05</v>
      </c>
      <c r="AM14" s="15"/>
      <c r="AN14" s="15">
        <v>0</v>
      </c>
      <c r="AO14" s="15">
        <v>0</v>
      </c>
      <c r="AP14" s="15">
        <f t="shared" si="2"/>
        <v>2.2100000000000002E-2</v>
      </c>
      <c r="AQ14" s="16">
        <f t="shared" si="3"/>
        <v>7.05</v>
      </c>
    </row>
    <row r="15" spans="1:43" ht="13.5" customHeight="1">
      <c r="A15" s="39" t="s">
        <v>126</v>
      </c>
      <c r="B15" s="33" t="s">
        <v>17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0"/>
      <c r="V15" s="30"/>
      <c r="W15" s="32"/>
      <c r="X15" s="32"/>
      <c r="Y15" s="32"/>
      <c r="Z15" s="32"/>
      <c r="AA15" s="32"/>
      <c r="AB15" s="32"/>
      <c r="AC15" s="32"/>
      <c r="AD15" s="32"/>
      <c r="AE15" s="31"/>
      <c r="AF15" s="32"/>
      <c r="AG15" s="32">
        <f t="shared" ref="AG15:AL15" si="6">SUM(AG16:AG18)</f>
        <v>20.373000000000001</v>
      </c>
      <c r="AH15" s="32">
        <f t="shared" si="6"/>
        <v>6.5879999999999992</v>
      </c>
      <c r="AI15" s="32">
        <f t="shared" si="6"/>
        <v>1.331</v>
      </c>
      <c r="AJ15" s="32">
        <f t="shared" si="6"/>
        <v>5.3620000000000001</v>
      </c>
      <c r="AK15" s="32">
        <f t="shared" si="6"/>
        <v>0.255</v>
      </c>
      <c r="AL15" s="32">
        <f t="shared" si="6"/>
        <v>33.908999999999999</v>
      </c>
      <c r="AM15" s="32"/>
      <c r="AN15" s="34">
        <v>0</v>
      </c>
      <c r="AO15" s="34">
        <v>0</v>
      </c>
      <c r="AP15" s="35">
        <f>SUM(AP16:AP18)</f>
        <v>7.0275000000000004E-2</v>
      </c>
      <c r="AQ15" s="35">
        <f>SUM(AQ16:AQ18)</f>
        <v>33.908999999999999</v>
      </c>
    </row>
    <row r="16" spans="1:43" s="5" customFormat="1" ht="13.5" customHeight="1">
      <c r="A16" s="36" t="s">
        <v>127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7"/>
      <c r="V16" s="17"/>
      <c r="W16" s="15"/>
      <c r="X16" s="15"/>
      <c r="Y16" s="15"/>
      <c r="Z16" s="15"/>
      <c r="AA16" s="15"/>
      <c r="AB16" s="15"/>
      <c r="AC16" s="15"/>
      <c r="AD16" s="15"/>
      <c r="AE16" s="28"/>
      <c r="AF16" s="15">
        <v>5.7000000000000002E-3</v>
      </c>
      <c r="AG16" s="15">
        <v>1.27</v>
      </c>
      <c r="AH16" s="15">
        <v>0.26800000000000002</v>
      </c>
      <c r="AI16" s="4">
        <f>ROUND((AH16)*0.202,3)</f>
        <v>5.3999999999999999E-2</v>
      </c>
      <c r="AJ16" s="21">
        <f>ROUND((AH16)*0.8138,3)</f>
        <v>0.218</v>
      </c>
      <c r="AK16" s="15">
        <v>8.0000000000000002E-3</v>
      </c>
      <c r="AL16" s="10">
        <f>SUM(AG16:AK16)</f>
        <v>1.8180000000000001</v>
      </c>
      <c r="AM16" s="15"/>
      <c r="AN16" s="15">
        <v>0</v>
      </c>
      <c r="AO16" s="15">
        <v>0</v>
      </c>
      <c r="AP16" s="15">
        <f>AF16</f>
        <v>5.7000000000000002E-3</v>
      </c>
      <c r="AQ16" s="16">
        <f>AL16</f>
        <v>1.8180000000000001</v>
      </c>
    </row>
    <row r="17" spans="1:43" ht="13.5" customHeight="1">
      <c r="A17" s="37" t="s">
        <v>128</v>
      </c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7"/>
      <c r="X17" s="7"/>
      <c r="Y17" s="15">
        <v>0.09</v>
      </c>
      <c r="Z17" s="15">
        <v>3</v>
      </c>
      <c r="AA17" s="15">
        <v>0.09</v>
      </c>
      <c r="AB17" s="15">
        <v>3</v>
      </c>
      <c r="AC17" s="7"/>
      <c r="AD17" s="7"/>
      <c r="AE17" s="19"/>
      <c r="AF17" s="15">
        <v>3.5700000000000003E-2</v>
      </c>
      <c r="AG17" s="7">
        <v>14.134</v>
      </c>
      <c r="AH17" s="7">
        <v>3.6539999999999999</v>
      </c>
      <c r="AI17" s="4">
        <f>ROUND((AH17)*0.202,3)</f>
        <v>0.73799999999999999</v>
      </c>
      <c r="AJ17" s="21">
        <f>ROUND((AH17)*0.8138,3)</f>
        <v>2.9740000000000002</v>
      </c>
      <c r="AK17" s="6">
        <v>0.23599999999999999</v>
      </c>
      <c r="AL17" s="10">
        <f>SUM(AG17:AK17)</f>
        <v>21.736000000000001</v>
      </c>
      <c r="AM17" s="7"/>
      <c r="AN17" s="15">
        <v>0</v>
      </c>
      <c r="AO17" s="15">
        <v>0</v>
      </c>
      <c r="AP17" s="15">
        <f>AF17</f>
        <v>3.5700000000000003E-2</v>
      </c>
      <c r="AQ17" s="16">
        <f>AL17</f>
        <v>21.736000000000001</v>
      </c>
    </row>
    <row r="18" spans="1:43" ht="13.5" customHeight="1">
      <c r="A18" s="37" t="s">
        <v>129</v>
      </c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7"/>
      <c r="X18" s="7"/>
      <c r="Y18" s="7"/>
      <c r="Z18" s="7"/>
      <c r="AA18" s="7"/>
      <c r="AB18" s="7"/>
      <c r="AC18" s="7"/>
      <c r="AD18" s="7"/>
      <c r="AE18" s="19"/>
      <c r="AF18" s="15">
        <v>2.8875000000000001E-2</v>
      </c>
      <c r="AG18" s="7">
        <v>4.9690000000000003</v>
      </c>
      <c r="AH18" s="7">
        <v>2.6659999999999999</v>
      </c>
      <c r="AI18" s="4">
        <f>ROUND((AH18)*0.202,3)</f>
        <v>0.53900000000000003</v>
      </c>
      <c r="AJ18" s="21">
        <f>ROUND((AH18)*0.8138,3)</f>
        <v>2.17</v>
      </c>
      <c r="AK18" s="6">
        <v>1.0999999999999999E-2</v>
      </c>
      <c r="AL18" s="10">
        <f>SUM(AG18:AK18)</f>
        <v>10.354999999999999</v>
      </c>
      <c r="AM18" s="7"/>
      <c r="AN18" s="15">
        <v>0</v>
      </c>
      <c r="AO18" s="15">
        <v>0</v>
      </c>
      <c r="AP18" s="15">
        <f>AF18</f>
        <v>2.8875000000000001E-2</v>
      </c>
      <c r="AQ18" s="16">
        <f>AL18</f>
        <v>10.354999999999999</v>
      </c>
    </row>
    <row r="19" spans="1:43" ht="13.5" customHeight="1">
      <c r="A19" s="39" t="s">
        <v>19</v>
      </c>
      <c r="B19" s="33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0"/>
      <c r="V19" s="30"/>
      <c r="W19" s="32"/>
      <c r="X19" s="32"/>
      <c r="Y19" s="34">
        <f>SUM(Y20:Y24)</f>
        <v>3</v>
      </c>
      <c r="Z19" s="34">
        <f>SUM(Z20:Z24)</f>
        <v>0.30000000000000004</v>
      </c>
      <c r="AA19" s="34">
        <f>SUM(AA20:AA24)</f>
        <v>3</v>
      </c>
      <c r="AB19" s="34">
        <f>SUM(AB20:AB24)</f>
        <v>0.30000000000000004</v>
      </c>
      <c r="AC19" s="32"/>
      <c r="AD19" s="32"/>
      <c r="AE19" s="31"/>
      <c r="AF19" s="34">
        <f>SUM(AF20:AF24)</f>
        <v>3</v>
      </c>
      <c r="AG19" s="32"/>
      <c r="AH19" s="32"/>
      <c r="AI19" s="32"/>
      <c r="AJ19" s="32"/>
      <c r="AK19" s="32"/>
      <c r="AL19" s="32"/>
      <c r="AM19" s="32"/>
      <c r="AN19" s="34">
        <f>SUM(AN20:AN23)</f>
        <v>4</v>
      </c>
      <c r="AO19" s="45">
        <f>SUM(AO20:AO23)</f>
        <v>80</v>
      </c>
      <c r="AP19" s="34">
        <f>SUM(AP20:AP24)</f>
        <v>5</v>
      </c>
      <c r="AQ19" s="34">
        <f>SUM(AQ20:AQ24)</f>
        <v>7.9849999999999994</v>
      </c>
    </row>
    <row r="20" spans="1:43" ht="13.5" customHeight="1">
      <c r="A20" s="36" t="s">
        <v>21</v>
      </c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7"/>
      <c r="X20" s="7"/>
      <c r="Y20" s="15">
        <v>1</v>
      </c>
      <c r="Z20" s="15">
        <v>0.1</v>
      </c>
      <c r="AA20" s="15">
        <v>1</v>
      </c>
      <c r="AB20" s="15">
        <v>0.1</v>
      </c>
      <c r="AC20" s="15"/>
      <c r="AD20" s="15"/>
      <c r="AE20" s="19"/>
      <c r="AF20" s="15">
        <v>1</v>
      </c>
      <c r="AG20" s="7"/>
      <c r="AH20" s="7"/>
      <c r="AI20" s="7"/>
      <c r="AJ20" s="7"/>
      <c r="AK20" s="7"/>
      <c r="AL20" s="7"/>
      <c r="AM20" s="7"/>
      <c r="AN20" s="15">
        <v>1</v>
      </c>
      <c r="AO20" s="46">
        <v>20</v>
      </c>
      <c r="AP20" s="15">
        <f>AF20</f>
        <v>1</v>
      </c>
      <c r="AQ20" s="15">
        <v>1.597</v>
      </c>
    </row>
    <row r="21" spans="1:43" ht="13.5" customHeight="1">
      <c r="A21" s="36" t="s">
        <v>22</v>
      </c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  <c r="V21" s="6"/>
      <c r="W21" s="7"/>
      <c r="X21" s="7"/>
      <c r="Y21" s="15"/>
      <c r="Z21" s="15"/>
      <c r="AA21" s="15"/>
      <c r="AB21" s="15"/>
      <c r="AC21" s="15">
        <v>1</v>
      </c>
      <c r="AD21" s="15">
        <v>0.1</v>
      </c>
      <c r="AE21" s="19"/>
      <c r="AF21" s="15"/>
      <c r="AG21" s="7"/>
      <c r="AH21" s="7"/>
      <c r="AI21" s="7"/>
      <c r="AJ21" s="7"/>
      <c r="AK21" s="7"/>
      <c r="AL21" s="7"/>
      <c r="AM21" s="7"/>
      <c r="AN21" s="15">
        <v>1</v>
      </c>
      <c r="AO21" s="46">
        <v>20</v>
      </c>
      <c r="AP21" s="15">
        <v>1</v>
      </c>
      <c r="AQ21" s="15">
        <v>1.597</v>
      </c>
    </row>
    <row r="22" spans="1:43" ht="13.5" customHeight="1">
      <c r="A22" s="36" t="s">
        <v>23</v>
      </c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6"/>
      <c r="W22" s="7"/>
      <c r="X22" s="7"/>
      <c r="Y22" s="15"/>
      <c r="Z22" s="15"/>
      <c r="AA22" s="15"/>
      <c r="AB22" s="15"/>
      <c r="AC22" s="15">
        <v>1</v>
      </c>
      <c r="AD22" s="15">
        <v>0.1</v>
      </c>
      <c r="AE22" s="19"/>
      <c r="AF22" s="15"/>
      <c r="AG22" s="7"/>
      <c r="AH22" s="7"/>
      <c r="AI22" s="7"/>
      <c r="AJ22" s="7"/>
      <c r="AK22" s="7"/>
      <c r="AL22" s="7"/>
      <c r="AM22" s="7"/>
      <c r="AN22" s="15">
        <v>1</v>
      </c>
      <c r="AO22" s="46">
        <v>20</v>
      </c>
      <c r="AP22" s="15">
        <v>1</v>
      </c>
      <c r="AQ22" s="15">
        <v>1.597</v>
      </c>
    </row>
    <row r="23" spans="1:43" ht="13.5" customHeight="1">
      <c r="A23" s="36" t="s">
        <v>24</v>
      </c>
      <c r="B23" s="1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  <c r="V23" s="6"/>
      <c r="W23" s="7"/>
      <c r="X23" s="7"/>
      <c r="Y23" s="15">
        <v>1</v>
      </c>
      <c r="Z23" s="15">
        <v>0.1</v>
      </c>
      <c r="AA23" s="15">
        <v>1</v>
      </c>
      <c r="AB23" s="15">
        <v>0.1</v>
      </c>
      <c r="AC23" s="15"/>
      <c r="AD23" s="15"/>
      <c r="AE23" s="19"/>
      <c r="AF23" s="15">
        <v>1</v>
      </c>
      <c r="AG23" s="7"/>
      <c r="AH23" s="7"/>
      <c r="AI23" s="7"/>
      <c r="AJ23" s="7"/>
      <c r="AK23" s="7"/>
      <c r="AL23" s="7"/>
      <c r="AM23" s="7"/>
      <c r="AN23" s="15">
        <v>1</v>
      </c>
      <c r="AO23" s="46">
        <v>20</v>
      </c>
      <c r="AP23" s="15">
        <f>AF23</f>
        <v>1</v>
      </c>
      <c r="AQ23" s="15">
        <v>1.597</v>
      </c>
    </row>
    <row r="24" spans="1:43">
      <c r="A24" s="40" t="s">
        <v>26</v>
      </c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1</v>
      </c>
      <c r="Z24" s="6">
        <v>0.1</v>
      </c>
      <c r="AA24" s="6">
        <v>1</v>
      </c>
      <c r="AB24" s="6">
        <v>0.1</v>
      </c>
      <c r="AC24" s="6"/>
      <c r="AD24" s="6"/>
      <c r="AE24" s="19"/>
      <c r="AF24" s="6">
        <v>1</v>
      </c>
      <c r="AG24" s="6"/>
      <c r="AH24" s="6"/>
      <c r="AI24" s="6"/>
      <c r="AJ24" s="6"/>
      <c r="AK24" s="6"/>
      <c r="AL24" s="6"/>
      <c r="AM24" s="6"/>
      <c r="AN24" s="6">
        <v>0</v>
      </c>
      <c r="AO24" s="6">
        <v>0</v>
      </c>
      <c r="AP24" s="15">
        <f t="shared" ref="AP24" si="7">AF24</f>
        <v>1</v>
      </c>
      <c r="AQ24" s="17">
        <v>1.597</v>
      </c>
    </row>
    <row r="25" spans="1:43">
      <c r="A25" s="39" t="s">
        <v>30</v>
      </c>
      <c r="B25" s="33" t="s">
        <v>31</v>
      </c>
      <c r="C25" s="30">
        <f>SUM(C30:C32)</f>
        <v>0</v>
      </c>
      <c r="D25" s="30">
        <f>SUM(D30:D32)</f>
        <v>0</v>
      </c>
      <c r="E25" s="30">
        <f>SUM(E30:E33)</f>
        <v>1</v>
      </c>
      <c r="F25" s="30">
        <f>SUM(F30:F33)</f>
        <v>1</v>
      </c>
      <c r="G25" s="30">
        <f>SUM(G30:G32)</f>
        <v>0</v>
      </c>
      <c r="H25" s="30">
        <f>SUM(H30:H32)</f>
        <v>0</v>
      </c>
      <c r="I25" s="30">
        <f>SUM(I26:I33)</f>
        <v>1</v>
      </c>
      <c r="J25" s="30">
        <f>SUM(J26:J33)</f>
        <v>4.4359999999999999</v>
      </c>
      <c r="K25" s="30"/>
      <c r="L25" s="30"/>
      <c r="M25" s="30"/>
      <c r="N25" s="30"/>
      <c r="O25" s="30"/>
      <c r="P25" s="30"/>
      <c r="Q25" s="30">
        <f>SUM(Q30:Q32)</f>
        <v>0</v>
      </c>
      <c r="R25" s="30">
        <f>SUM(R30:R32)</f>
        <v>0</v>
      </c>
      <c r="S25" s="30" t="e">
        <f>SUM(S26:S33)-S29-S32-S33</f>
        <v>#REF!</v>
      </c>
      <c r="T25" s="30" t="e">
        <f>SUM(T26:T33)-T29-T32-T33</f>
        <v>#REF!</v>
      </c>
      <c r="U25" s="30"/>
      <c r="V25" s="30"/>
      <c r="W25" s="30">
        <f t="shared" ref="W25:AD25" si="8">SUM(W26:W33)-W29-W32-W33</f>
        <v>2</v>
      </c>
      <c r="X25" s="30">
        <f t="shared" si="8"/>
        <v>1</v>
      </c>
      <c r="Y25" s="30">
        <f t="shared" si="8"/>
        <v>0</v>
      </c>
      <c r="Z25" s="30">
        <f t="shared" si="8"/>
        <v>0</v>
      </c>
      <c r="AA25" s="30">
        <f t="shared" si="8"/>
        <v>0</v>
      </c>
      <c r="AB25" s="30">
        <f t="shared" si="8"/>
        <v>0</v>
      </c>
      <c r="AC25" s="30">
        <f t="shared" si="8"/>
        <v>0</v>
      </c>
      <c r="AD25" s="30">
        <f t="shared" si="8"/>
        <v>0</v>
      </c>
      <c r="AE25" s="31"/>
      <c r="AF25" s="30">
        <f>SUM(AF26:AF33)-AF29-AF32-AF33</f>
        <v>2</v>
      </c>
      <c r="AG25" s="30">
        <f t="shared" ref="AG25:AL25" si="9">SUM(AG26:AG30)</f>
        <v>1.0129999999999999</v>
      </c>
      <c r="AH25" s="30">
        <f t="shared" si="9"/>
        <v>0.52900000000000003</v>
      </c>
      <c r="AI25" s="30">
        <f t="shared" si="9"/>
        <v>0.10600000000000001</v>
      </c>
      <c r="AJ25" s="30">
        <f t="shared" si="9"/>
        <v>0.43100000000000005</v>
      </c>
      <c r="AK25" s="30">
        <f t="shared" si="9"/>
        <v>8.0000000000000002E-3</v>
      </c>
      <c r="AL25" s="30">
        <f t="shared" si="9"/>
        <v>2.0859999999999999</v>
      </c>
      <c r="AM25" s="30"/>
      <c r="AN25" s="30">
        <f>SUM(AN30:AN32)</f>
        <v>0</v>
      </c>
      <c r="AO25" s="30">
        <f>SUM(AO30:AO32)</f>
        <v>0</v>
      </c>
      <c r="AP25" s="30">
        <f>SUM(AP26:AP33)</f>
        <v>15</v>
      </c>
      <c r="AQ25" s="30">
        <f>SUM(AQ26:AQ33)</f>
        <v>38.899000000000001</v>
      </c>
    </row>
    <row r="26" spans="1:43" s="3" customFormat="1">
      <c r="A26" s="37" t="s">
        <v>130</v>
      </c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>
        <v>1</v>
      </c>
      <c r="X26" s="6">
        <v>0.5</v>
      </c>
      <c r="Y26" s="6"/>
      <c r="Z26" s="6"/>
      <c r="AA26" s="6"/>
      <c r="AB26" s="6"/>
      <c r="AC26" s="6"/>
      <c r="AD26" s="6"/>
      <c r="AE26" s="6"/>
      <c r="AF26" s="6">
        <v>1</v>
      </c>
      <c r="AG26" s="6">
        <v>0.34899999999999998</v>
      </c>
      <c r="AH26" s="6">
        <v>0.20499999999999999</v>
      </c>
      <c r="AI26" s="4">
        <f>ROUND((AH26)*0.202,3)</f>
        <v>4.1000000000000002E-2</v>
      </c>
      <c r="AJ26" s="21">
        <f>ROUND((AH26)*0.8138,3)</f>
        <v>0.16700000000000001</v>
      </c>
      <c r="AK26" s="6">
        <v>3.0000000000000001E-3</v>
      </c>
      <c r="AL26" s="10">
        <f>SUM(AG26:AK26)</f>
        <v>0.76500000000000001</v>
      </c>
      <c r="AM26" s="10"/>
      <c r="AN26" s="6">
        <v>0</v>
      </c>
      <c r="AO26" s="6">
        <v>0</v>
      </c>
      <c r="AP26" s="6">
        <f>AF26</f>
        <v>1</v>
      </c>
      <c r="AQ26" s="10">
        <f>AL26</f>
        <v>0.76500000000000001</v>
      </c>
    </row>
    <row r="27" spans="1:43" s="3" customFormat="1" ht="12">
      <c r="A27" s="37" t="s">
        <v>131</v>
      </c>
      <c r="B27" s="14"/>
      <c r="C27" s="6"/>
      <c r="D27" s="6"/>
      <c r="E27" s="6"/>
      <c r="F27" s="6"/>
      <c r="G27" s="6"/>
      <c r="H27" s="6"/>
      <c r="I27" s="6">
        <v>1</v>
      </c>
      <c r="J27" s="6">
        <v>4.4359999999999999</v>
      </c>
      <c r="K27" s="6"/>
      <c r="L27" s="6"/>
      <c r="M27" s="6"/>
      <c r="N27" s="6"/>
      <c r="O27" s="6"/>
      <c r="P27" s="6"/>
      <c r="Q27" s="6"/>
      <c r="R27" s="6"/>
      <c r="S27" s="6">
        <f>I27+E27</f>
        <v>1</v>
      </c>
      <c r="T27" s="6">
        <v>1.5169999999999999</v>
      </c>
      <c r="U27" s="6" t="s">
        <v>32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0</v>
      </c>
      <c r="AO27" s="6">
        <v>0</v>
      </c>
      <c r="AP27" s="6">
        <v>1</v>
      </c>
      <c r="AQ27" s="6">
        <v>1.5169999999999999</v>
      </c>
    </row>
    <row r="28" spans="1:43" s="8" customFormat="1" ht="12">
      <c r="A28" s="37" t="s">
        <v>132</v>
      </c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0</v>
      </c>
      <c r="AO28" s="6">
        <v>0</v>
      </c>
      <c r="AP28" s="6">
        <v>3</v>
      </c>
      <c r="AQ28" s="6">
        <v>12.695</v>
      </c>
    </row>
    <row r="29" spans="1:43" s="8" customFormat="1" ht="12">
      <c r="A29" s="37" t="s">
        <v>133</v>
      </c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 t="e">
        <f>#REF!+#REF!+#REF!</f>
        <v>#REF!</v>
      </c>
      <c r="T29" s="6" t="e">
        <f>#REF!+#REF!+#REF!</f>
        <v>#REF!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0</v>
      </c>
      <c r="AO29" s="6">
        <v>0</v>
      </c>
      <c r="AP29" s="6">
        <v>4</v>
      </c>
      <c r="AQ29" s="6">
        <v>7.4550000000000001</v>
      </c>
    </row>
    <row r="30" spans="1:43">
      <c r="A30" s="37" t="s">
        <v>134</v>
      </c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v>1</v>
      </c>
      <c r="X30" s="6">
        <v>0.5</v>
      </c>
      <c r="Y30" s="6"/>
      <c r="Z30" s="6"/>
      <c r="AA30" s="6"/>
      <c r="AB30" s="6"/>
      <c r="AC30" s="6"/>
      <c r="AD30" s="6"/>
      <c r="AE30" s="19"/>
      <c r="AF30" s="6">
        <v>1</v>
      </c>
      <c r="AG30" s="6">
        <v>0.66400000000000003</v>
      </c>
      <c r="AH30" s="6">
        <v>0.32400000000000001</v>
      </c>
      <c r="AI30" s="4">
        <f t="shared" ref="AI30:AI32" si="10">ROUND((AH30)*0.202,3)</f>
        <v>6.5000000000000002E-2</v>
      </c>
      <c r="AJ30" s="21">
        <f t="shared" ref="AJ30:AJ32" si="11">ROUND((AH30)*0.8138,3)</f>
        <v>0.26400000000000001</v>
      </c>
      <c r="AK30" s="6">
        <v>5.0000000000000001E-3</v>
      </c>
      <c r="AL30" s="10">
        <f>SUM(AG30:AK30)-0.001</f>
        <v>1.321</v>
      </c>
      <c r="AM30" s="6"/>
      <c r="AN30" s="6">
        <v>0</v>
      </c>
      <c r="AO30" s="6">
        <v>0</v>
      </c>
      <c r="AP30" s="6">
        <v>1</v>
      </c>
      <c r="AQ30" s="10">
        <f>AL30</f>
        <v>1.321</v>
      </c>
    </row>
    <row r="31" spans="1:43">
      <c r="A31" s="37" t="s">
        <v>135</v>
      </c>
      <c r="B31" s="14"/>
      <c r="C31" s="6"/>
      <c r="D31" s="6"/>
      <c r="E31" s="6">
        <v>1</v>
      </c>
      <c r="F31" s="6"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>I31+E31</f>
        <v>1</v>
      </c>
      <c r="T31" s="6">
        <v>2.9820000000000002</v>
      </c>
      <c r="U31" s="6" t="s">
        <v>32</v>
      </c>
      <c r="V31" s="6"/>
      <c r="W31" s="6"/>
      <c r="X31" s="6"/>
      <c r="Y31" s="6"/>
      <c r="Z31" s="6"/>
      <c r="AA31" s="6"/>
      <c r="AB31" s="6"/>
      <c r="AC31" s="6"/>
      <c r="AD31" s="6"/>
      <c r="AE31" s="19"/>
      <c r="AF31" s="6"/>
      <c r="AG31" s="6"/>
      <c r="AH31" s="6"/>
      <c r="AI31" s="4">
        <f t="shared" si="10"/>
        <v>0</v>
      </c>
      <c r="AJ31" s="21">
        <f t="shared" si="11"/>
        <v>0</v>
      </c>
      <c r="AK31" s="6"/>
      <c r="AL31" s="10">
        <f t="shared" ref="AL31:AL32" si="12">SUM(AG31:AK31)</f>
        <v>0</v>
      </c>
      <c r="AM31" s="6"/>
      <c r="AN31" s="6">
        <v>0</v>
      </c>
      <c r="AO31" s="6">
        <v>0</v>
      </c>
      <c r="AP31" s="6">
        <v>1</v>
      </c>
      <c r="AQ31" s="6">
        <v>2.9820000000000002</v>
      </c>
    </row>
    <row r="32" spans="1:43" s="9" customFormat="1">
      <c r="A32" s="37" t="s">
        <v>129</v>
      </c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 t="e">
        <f>#REF!+#REF!</f>
        <v>#REF!</v>
      </c>
      <c r="T32" s="6" t="e">
        <f>#REF!+#REF!</f>
        <v>#REF!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4">
        <f t="shared" si="10"/>
        <v>0</v>
      </c>
      <c r="AJ32" s="21">
        <f t="shared" si="11"/>
        <v>0</v>
      </c>
      <c r="AK32" s="6"/>
      <c r="AL32" s="10">
        <f t="shared" si="12"/>
        <v>0</v>
      </c>
      <c r="AM32" s="6"/>
      <c r="AN32" s="6">
        <v>0</v>
      </c>
      <c r="AO32" s="6">
        <v>0</v>
      </c>
      <c r="AP32" s="6">
        <v>2</v>
      </c>
      <c r="AQ32" s="6">
        <v>9.6850000000000005</v>
      </c>
    </row>
    <row r="33" spans="1:43" s="9" customFormat="1" ht="12">
      <c r="A33" s="37" t="s">
        <v>136</v>
      </c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 t="e">
        <f>#REF!+#REF!</f>
        <v>#REF!</v>
      </c>
      <c r="T33" s="6" t="e">
        <f>#REF!+#REF!</f>
        <v>#REF!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0</v>
      </c>
      <c r="AO33" s="6">
        <v>0</v>
      </c>
      <c r="AP33" s="6">
        <v>2</v>
      </c>
      <c r="AQ33" s="6">
        <v>2.4790000000000001</v>
      </c>
    </row>
    <row r="34" spans="1:43">
      <c r="A34" s="47" t="s">
        <v>33</v>
      </c>
      <c r="B34" s="33" t="s">
        <v>137</v>
      </c>
      <c r="C34" s="6"/>
      <c r="D34" s="6"/>
      <c r="E34" s="6"/>
      <c r="F34" s="6"/>
      <c r="G34" s="6"/>
      <c r="H34" s="6"/>
      <c r="I34" s="6">
        <f>SUM(I35:I35)</f>
        <v>1.227E-2</v>
      </c>
      <c r="J34" s="6">
        <f>SUM(J35:J35)</f>
        <v>4.085</v>
      </c>
      <c r="K34" s="6"/>
      <c r="L34" s="6"/>
      <c r="M34" s="6"/>
      <c r="N34" s="6"/>
      <c r="O34" s="6"/>
      <c r="P34" s="6"/>
      <c r="Q34" s="6"/>
      <c r="R34" s="6"/>
      <c r="S34" s="6">
        <f>SUM(S35:S35)</f>
        <v>1.227E-2</v>
      </c>
      <c r="T34" s="6">
        <f>SUM(T35:T35)</f>
        <v>4.3550000000000004</v>
      </c>
      <c r="U34" s="6"/>
      <c r="V34" s="6"/>
      <c r="W34" s="6">
        <f t="shared" ref="W34:AD34" si="13">SUM(W35:W35)</f>
        <v>0</v>
      </c>
      <c r="X34" s="6">
        <f t="shared" si="13"/>
        <v>0</v>
      </c>
      <c r="Y34" s="6">
        <f t="shared" si="13"/>
        <v>0</v>
      </c>
      <c r="Z34" s="6">
        <f t="shared" si="13"/>
        <v>0</v>
      </c>
      <c r="AA34" s="6">
        <f t="shared" si="13"/>
        <v>0</v>
      </c>
      <c r="AB34" s="6">
        <f t="shared" si="13"/>
        <v>0</v>
      </c>
      <c r="AC34" s="6">
        <f t="shared" si="13"/>
        <v>0</v>
      </c>
      <c r="AD34" s="6">
        <f t="shared" si="13"/>
        <v>0</v>
      </c>
      <c r="AE34" s="19"/>
      <c r="AF34" s="6">
        <f>SUM(AF35:AF35)</f>
        <v>0</v>
      </c>
      <c r="AG34" s="6"/>
      <c r="AH34" s="6"/>
      <c r="AI34" s="6"/>
      <c r="AJ34" s="6"/>
      <c r="AK34" s="6"/>
      <c r="AL34" s="6"/>
      <c r="AM34" s="6"/>
      <c r="AN34" s="30">
        <v>0</v>
      </c>
      <c r="AO34" s="30">
        <v>0</v>
      </c>
      <c r="AP34" s="44">
        <f>SUM(AP35:AP35)</f>
        <v>1.227E-2</v>
      </c>
      <c r="AQ34" s="30">
        <f>SUM(AQ35:AQ35)</f>
        <v>4.3550000000000004</v>
      </c>
    </row>
    <row r="35" spans="1:43">
      <c r="A35" s="37" t="s">
        <v>136</v>
      </c>
      <c r="B35" s="14"/>
      <c r="C35" s="6"/>
      <c r="D35" s="6"/>
      <c r="E35" s="6"/>
      <c r="F35" s="6"/>
      <c r="G35" s="6"/>
      <c r="H35" s="6"/>
      <c r="I35" s="6">
        <v>1.227E-2</v>
      </c>
      <c r="J35" s="6">
        <v>4.085</v>
      </c>
      <c r="K35" s="6">
        <v>1.0880000000000001</v>
      </c>
      <c r="L35" s="6">
        <v>1.4390000000000001</v>
      </c>
      <c r="M35" s="4">
        <f>ROUND((L35)*0.202,3)</f>
        <v>0.29099999999999998</v>
      </c>
      <c r="N35" s="21">
        <f>ROUND((L35)*1.0457,3)</f>
        <v>1.5049999999999999</v>
      </c>
      <c r="O35" s="6">
        <v>3.2000000000000001E-2</v>
      </c>
      <c r="P35" s="10">
        <f>SUM(K35:O35)</f>
        <v>4.3550000000000004</v>
      </c>
      <c r="Q35" s="6"/>
      <c r="R35" s="6"/>
      <c r="S35" s="6">
        <f>I35+E35</f>
        <v>1.227E-2</v>
      </c>
      <c r="T35" s="10">
        <f>P35</f>
        <v>4.3550000000000004</v>
      </c>
      <c r="U35" s="6"/>
      <c r="V35" s="6"/>
      <c r="W35" s="6"/>
      <c r="X35" s="10"/>
      <c r="Y35" s="6"/>
      <c r="Z35" s="10"/>
      <c r="AA35" s="6"/>
      <c r="AB35" s="10"/>
      <c r="AC35" s="6"/>
      <c r="AD35" s="10"/>
      <c r="AE35" s="19"/>
      <c r="AF35" s="6"/>
      <c r="AG35" s="6"/>
      <c r="AH35" s="6"/>
      <c r="AI35" s="4">
        <f>ROUND((AH35)*0.202,3)</f>
        <v>0</v>
      </c>
      <c r="AJ35" s="21">
        <f>ROUND((AH35)*1.0457,3)</f>
        <v>0</v>
      </c>
      <c r="AK35" s="6"/>
      <c r="AL35" s="10">
        <f>SUM(AG35:AK35)</f>
        <v>0</v>
      </c>
      <c r="AM35" s="10"/>
      <c r="AN35" s="6">
        <v>0</v>
      </c>
      <c r="AO35" s="6">
        <v>0</v>
      </c>
      <c r="AP35" s="6">
        <f>S35</f>
        <v>1.227E-2</v>
      </c>
      <c r="AQ35" s="6">
        <f>T35</f>
        <v>4.3550000000000004</v>
      </c>
    </row>
    <row r="36" spans="1:43">
      <c r="A36" s="47" t="s">
        <v>34</v>
      </c>
      <c r="B36" s="33" t="s">
        <v>35</v>
      </c>
      <c r="C36" s="30">
        <v>2.5000000000000001E-2</v>
      </c>
      <c r="D36" s="30">
        <v>42.33</v>
      </c>
      <c r="E36" s="30">
        <f>SUM(E37:E54)</f>
        <v>5.1000000000000004E-3</v>
      </c>
      <c r="F36" s="30">
        <f>SUM(F37:F54)</f>
        <v>1.3180000000000001</v>
      </c>
      <c r="G36" s="30">
        <v>2.5000000000000001E-2</v>
      </c>
      <c r="H36" s="30">
        <v>42.33</v>
      </c>
      <c r="I36" s="30">
        <f>SUM(I37:I54)</f>
        <v>0</v>
      </c>
      <c r="J36" s="30">
        <f>SUM(J37:J54)</f>
        <v>0</v>
      </c>
      <c r="K36" s="30">
        <f t="shared" ref="K36:P36" si="14">SUM(K37:K54)-K40</f>
        <v>0</v>
      </c>
      <c r="L36" s="30">
        <f t="shared" si="14"/>
        <v>0.64100000000000001</v>
      </c>
      <c r="M36" s="30">
        <f t="shared" si="14"/>
        <v>0.129</v>
      </c>
      <c r="N36" s="30">
        <f t="shared" si="14"/>
        <v>0.67</v>
      </c>
      <c r="O36" s="30">
        <f t="shared" si="14"/>
        <v>2.5000000000000001E-2</v>
      </c>
      <c r="P36" s="30">
        <f t="shared" si="14"/>
        <v>1.4649999999999999</v>
      </c>
      <c r="Q36" s="30">
        <f>SUM(Q37:Q54)</f>
        <v>0.04</v>
      </c>
      <c r="R36" s="30">
        <f>SUM(R37:R54)</f>
        <v>67.739999999999995</v>
      </c>
      <c r="S36" s="30" t="e">
        <f>SUM(S37:S54)-S40</f>
        <v>#REF!</v>
      </c>
      <c r="T36" s="30" t="e">
        <f>SUM(T37:T54)-T40</f>
        <v>#REF!</v>
      </c>
      <c r="U36" s="30"/>
      <c r="V36" s="30"/>
      <c r="W36" s="30">
        <f t="shared" ref="W36:AD36" si="15">SUM(W37:W54)-W40</f>
        <v>2E-3</v>
      </c>
      <c r="X36" s="30">
        <f t="shared" si="15"/>
        <v>0.34</v>
      </c>
      <c r="Y36" s="30">
        <f t="shared" si="15"/>
        <v>1.4999999999999999E-2</v>
      </c>
      <c r="Z36" s="30">
        <f t="shared" si="15"/>
        <v>0</v>
      </c>
      <c r="AA36" s="30">
        <f t="shared" si="15"/>
        <v>1.4999999999999999E-2</v>
      </c>
      <c r="AB36" s="30">
        <f t="shared" si="15"/>
        <v>0</v>
      </c>
      <c r="AC36" s="30">
        <f t="shared" si="15"/>
        <v>1.8000000000000002E-2</v>
      </c>
      <c r="AD36" s="30">
        <f t="shared" si="15"/>
        <v>0</v>
      </c>
      <c r="AE36" s="31"/>
      <c r="AF36" s="30">
        <f t="shared" ref="AF36:AL36" si="16">SUM(AF37:AF54)-AF40</f>
        <v>3.3000000000000002E-2</v>
      </c>
      <c r="AG36" s="30">
        <f t="shared" si="16"/>
        <v>1.2999999999999999E-2</v>
      </c>
      <c r="AH36" s="30">
        <f t="shared" si="16"/>
        <v>4.0999999999999996</v>
      </c>
      <c r="AI36" s="30">
        <f t="shared" si="16"/>
        <v>0.82800000000000007</v>
      </c>
      <c r="AJ36" s="30">
        <f t="shared" si="16"/>
        <v>3.3369999999999997</v>
      </c>
      <c r="AK36" s="30">
        <f t="shared" si="16"/>
        <v>0.151</v>
      </c>
      <c r="AL36" s="30">
        <f t="shared" si="16"/>
        <v>8.4269999999999996</v>
      </c>
      <c r="AM36" s="30"/>
      <c r="AN36" s="30">
        <v>8.5000000000000006E-2</v>
      </c>
      <c r="AO36" s="30">
        <v>143.93</v>
      </c>
      <c r="AP36" s="44">
        <f>SUM(AP37:AP54)</f>
        <v>8.8010000000000005E-2</v>
      </c>
      <c r="AQ36" s="44">
        <f>SUM(AQ37:AQ54)</f>
        <v>22.712</v>
      </c>
    </row>
    <row r="37" spans="1:43">
      <c r="A37" s="37" t="s">
        <v>119</v>
      </c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9"/>
      <c r="AF37" s="6"/>
      <c r="AG37" s="6"/>
      <c r="AH37" s="6"/>
      <c r="AI37" s="6"/>
      <c r="AJ37" s="6"/>
      <c r="AK37" s="6"/>
      <c r="AL37" s="6"/>
      <c r="AM37" s="6"/>
      <c r="AN37" s="6">
        <v>4.0000000000000001E-3</v>
      </c>
      <c r="AO37" s="6">
        <v>6.77</v>
      </c>
      <c r="AP37" s="6">
        <f>S37</f>
        <v>0</v>
      </c>
      <c r="AQ37" s="6">
        <f>T37</f>
        <v>0</v>
      </c>
    </row>
    <row r="38" spans="1:43">
      <c r="A38" s="37" t="s">
        <v>138</v>
      </c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v>0.02</v>
      </c>
      <c r="R38" s="6">
        <v>33.799999999999997</v>
      </c>
      <c r="S38" s="6"/>
      <c r="T38" s="6"/>
      <c r="U38" s="6"/>
      <c r="V38" s="6"/>
      <c r="W38" s="6">
        <v>2E-3</v>
      </c>
      <c r="X38" s="10">
        <v>0.23</v>
      </c>
      <c r="Y38" s="6"/>
      <c r="Z38" s="10"/>
      <c r="AA38" s="6"/>
      <c r="AB38" s="10"/>
      <c r="AC38" s="6"/>
      <c r="AD38" s="6"/>
      <c r="AE38" s="19"/>
      <c r="AF38" s="6"/>
      <c r="AG38" s="6"/>
      <c r="AH38" s="6"/>
      <c r="AI38" s="6"/>
      <c r="AJ38" s="6"/>
      <c r="AK38" s="6"/>
      <c r="AL38" s="6"/>
      <c r="AM38" s="6"/>
      <c r="AN38" s="6">
        <v>0.02</v>
      </c>
      <c r="AO38" s="6">
        <v>33.799999999999997</v>
      </c>
      <c r="AP38" s="6">
        <v>2E-3</v>
      </c>
      <c r="AQ38" s="6">
        <v>0.23</v>
      </c>
    </row>
    <row r="39" spans="1:43">
      <c r="A39" s="37" t="s">
        <v>139</v>
      </c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0"/>
      <c r="Y39" s="6"/>
      <c r="Z39" s="10"/>
      <c r="AA39" s="6"/>
      <c r="AB39" s="10"/>
      <c r="AC39" s="6"/>
      <c r="AD39" s="6"/>
      <c r="AE39" s="19"/>
      <c r="AF39" s="6"/>
      <c r="AG39" s="6"/>
      <c r="AH39" s="6"/>
      <c r="AI39" s="4">
        <f>ROUND((AH39)*0.202,3)</f>
        <v>0</v>
      </c>
      <c r="AJ39" s="21">
        <f>ROUND((AH39)*0.8138,3)</f>
        <v>0</v>
      </c>
      <c r="AK39" s="6"/>
      <c r="AL39" s="10">
        <f>SUM(AG39:AK39)</f>
        <v>0</v>
      </c>
      <c r="AM39" s="6"/>
      <c r="AN39" s="6">
        <v>2E-3</v>
      </c>
      <c r="AO39" s="6">
        <v>3.38</v>
      </c>
      <c r="AP39" s="6">
        <f t="shared" ref="AP39:AQ54" si="17">S39</f>
        <v>0</v>
      </c>
      <c r="AQ39" s="6">
        <f t="shared" si="17"/>
        <v>0</v>
      </c>
    </row>
    <row r="40" spans="1:43" s="9" customFormat="1">
      <c r="A40" s="37" t="s">
        <v>130</v>
      </c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>
        <v>0.01</v>
      </c>
      <c r="R40" s="6">
        <v>16.93</v>
      </c>
      <c r="S40" s="6" t="e">
        <f>#REF!+#REF!</f>
        <v>#REF!</v>
      </c>
      <c r="T40" s="6" t="e">
        <f>#REF!+#REF!</f>
        <v>#REF!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21">
        <f t="shared" ref="AJ40:AJ53" si="18">ROUND((AH40)*0.8138,3)</f>
        <v>0</v>
      </c>
      <c r="AK40" s="6"/>
      <c r="AL40" s="6"/>
      <c r="AM40" s="6"/>
      <c r="AN40" s="6">
        <v>0.01</v>
      </c>
      <c r="AO40" s="6">
        <v>16.93</v>
      </c>
      <c r="AP40" s="10">
        <v>4.0910000000000002E-2</v>
      </c>
      <c r="AQ40" s="6">
        <v>11.83</v>
      </c>
    </row>
    <row r="41" spans="1:43">
      <c r="A41" s="37" t="s">
        <v>131</v>
      </c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4"/>
      <c r="N41" s="21"/>
      <c r="O41" s="6"/>
      <c r="P41" s="10"/>
      <c r="Q41" s="6"/>
      <c r="R41" s="6"/>
      <c r="S41" s="6"/>
      <c r="T41" s="10"/>
      <c r="U41" s="6"/>
      <c r="V41" s="6"/>
      <c r="W41" s="6"/>
      <c r="X41" s="10"/>
      <c r="Y41" s="6"/>
      <c r="Z41" s="10"/>
      <c r="AA41" s="6"/>
      <c r="AB41" s="10"/>
      <c r="AC41" s="6"/>
      <c r="AD41" s="10"/>
      <c r="AE41" s="19"/>
      <c r="AF41" s="6"/>
      <c r="AG41" s="6"/>
      <c r="AH41" s="6"/>
      <c r="AI41" s="4"/>
      <c r="AJ41" s="21">
        <f t="shared" si="18"/>
        <v>0</v>
      </c>
      <c r="AK41" s="6"/>
      <c r="AL41" s="10"/>
      <c r="AM41" s="10"/>
      <c r="AN41" s="6">
        <v>5.0000000000000001E-3</v>
      </c>
      <c r="AO41" s="6">
        <v>8.4600000000000009</v>
      </c>
      <c r="AP41" s="6">
        <f t="shared" si="17"/>
        <v>0</v>
      </c>
      <c r="AQ41" s="6">
        <f t="shared" si="17"/>
        <v>0</v>
      </c>
    </row>
    <row r="42" spans="1:43">
      <c r="A42" s="37" t="s">
        <v>37</v>
      </c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4">
        <f>ROUND((L42)*0.202,3)</f>
        <v>0</v>
      </c>
      <c r="N42" s="21">
        <f>ROUND((L42)*1.0457,3)</f>
        <v>0</v>
      </c>
      <c r="O42" s="6"/>
      <c r="P42" s="10">
        <f>SUM(K42:O42)</f>
        <v>0</v>
      </c>
      <c r="Q42" s="6"/>
      <c r="R42" s="6"/>
      <c r="S42" s="6">
        <f>I42+E42</f>
        <v>0</v>
      </c>
      <c r="T42" s="10">
        <f>P42</f>
        <v>0</v>
      </c>
      <c r="U42" s="6"/>
      <c r="V42" s="6"/>
      <c r="W42" s="6"/>
      <c r="X42" s="10"/>
      <c r="Y42" s="6"/>
      <c r="Z42" s="10"/>
      <c r="AA42" s="6"/>
      <c r="AB42" s="10"/>
      <c r="AC42" s="6"/>
      <c r="AD42" s="10"/>
      <c r="AE42" s="19"/>
      <c r="AF42" s="6"/>
      <c r="AG42" s="6"/>
      <c r="AH42" s="6"/>
      <c r="AI42" s="4">
        <f>ROUND((AH42)*0.202,3)</f>
        <v>0</v>
      </c>
      <c r="AJ42" s="21">
        <f t="shared" si="18"/>
        <v>0</v>
      </c>
      <c r="AK42" s="6"/>
      <c r="AL42" s="10">
        <f>SUM(AG42:AK42)</f>
        <v>0</v>
      </c>
      <c r="AM42" s="10"/>
      <c r="AN42" s="6">
        <v>3.0000000000000001E-3</v>
      </c>
      <c r="AO42" s="6">
        <v>5.08</v>
      </c>
      <c r="AP42" s="6">
        <f t="shared" si="17"/>
        <v>0</v>
      </c>
      <c r="AQ42" s="6">
        <f t="shared" si="17"/>
        <v>0</v>
      </c>
    </row>
    <row r="43" spans="1:43">
      <c r="A43" s="37" t="s">
        <v>23</v>
      </c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4"/>
      <c r="N43" s="21"/>
      <c r="O43" s="6"/>
      <c r="P43" s="10"/>
      <c r="Q43" s="6"/>
      <c r="R43" s="6"/>
      <c r="S43" s="6"/>
      <c r="T43" s="10"/>
      <c r="U43" s="6"/>
      <c r="V43" s="6"/>
      <c r="W43" s="6"/>
      <c r="X43" s="10"/>
      <c r="Y43" s="6"/>
      <c r="Z43" s="10"/>
      <c r="AA43" s="6"/>
      <c r="AB43" s="10"/>
      <c r="AC43" s="6"/>
      <c r="AD43" s="10"/>
      <c r="AE43" s="19"/>
      <c r="AF43" s="6"/>
      <c r="AG43" s="6"/>
      <c r="AH43" s="6"/>
      <c r="AI43" s="4"/>
      <c r="AJ43" s="21">
        <f t="shared" si="18"/>
        <v>0</v>
      </c>
      <c r="AK43" s="6"/>
      <c r="AL43" s="10"/>
      <c r="AM43" s="10"/>
      <c r="AN43" s="6">
        <v>3.0000000000000001E-3</v>
      </c>
      <c r="AO43" s="6">
        <v>5.08</v>
      </c>
      <c r="AP43" s="6">
        <f t="shared" si="17"/>
        <v>0</v>
      </c>
      <c r="AQ43" s="6">
        <f t="shared" si="17"/>
        <v>0</v>
      </c>
    </row>
    <row r="44" spans="1:43">
      <c r="A44" s="37" t="s">
        <v>38</v>
      </c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4">
        <f>ROUND((L44)*0.202,3)</f>
        <v>0</v>
      </c>
      <c r="N44" s="21">
        <f>ROUND((L44)*1.0457,3)</f>
        <v>0</v>
      </c>
      <c r="O44" s="6"/>
      <c r="P44" s="10">
        <f>SUM(K44:O44)</f>
        <v>0</v>
      </c>
      <c r="Q44" s="6"/>
      <c r="R44" s="6"/>
      <c r="S44" s="6">
        <f>I44+E44</f>
        <v>0</v>
      </c>
      <c r="T44" s="10">
        <f>P44</f>
        <v>0</v>
      </c>
      <c r="U44" s="6"/>
      <c r="V44" s="6"/>
      <c r="W44" s="6"/>
      <c r="X44" s="10"/>
      <c r="Y44" s="6"/>
      <c r="Z44" s="10"/>
      <c r="AA44" s="6"/>
      <c r="AB44" s="10"/>
      <c r="AC44" s="6"/>
      <c r="AD44" s="10"/>
      <c r="AE44" s="19"/>
      <c r="AF44" s="6"/>
      <c r="AG44" s="6"/>
      <c r="AH44" s="6"/>
      <c r="AI44" s="4">
        <f>ROUND((AH44)*0.202,3)</f>
        <v>0</v>
      </c>
      <c r="AJ44" s="21">
        <f t="shared" si="18"/>
        <v>0</v>
      </c>
      <c r="AK44" s="6"/>
      <c r="AL44" s="10">
        <f>SUM(AG44:AK44)</f>
        <v>0</v>
      </c>
      <c r="AM44" s="10"/>
      <c r="AN44" s="6">
        <v>0</v>
      </c>
      <c r="AO44" s="6">
        <v>0</v>
      </c>
      <c r="AP44" s="6">
        <f t="shared" si="17"/>
        <v>0</v>
      </c>
      <c r="AQ44" s="6">
        <f t="shared" si="17"/>
        <v>0</v>
      </c>
    </row>
    <row r="45" spans="1:43">
      <c r="A45" s="37" t="s">
        <v>140</v>
      </c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4"/>
      <c r="N45" s="21"/>
      <c r="O45" s="6"/>
      <c r="P45" s="10"/>
      <c r="Q45" s="6"/>
      <c r="R45" s="6"/>
      <c r="S45" s="6"/>
      <c r="T45" s="10"/>
      <c r="U45" s="6"/>
      <c r="V45" s="6"/>
      <c r="W45" s="6"/>
      <c r="X45" s="10"/>
      <c r="Y45" s="6">
        <v>1.4999999999999999E-2</v>
      </c>
      <c r="Z45" s="10" t="s">
        <v>39</v>
      </c>
      <c r="AA45" s="6">
        <v>1.4999999999999999E-2</v>
      </c>
      <c r="AB45" s="10" t="s">
        <v>39</v>
      </c>
      <c r="AC45" s="6"/>
      <c r="AD45" s="10"/>
      <c r="AE45" s="19"/>
      <c r="AF45" s="6">
        <v>1.4999999999999999E-2</v>
      </c>
      <c r="AG45" s="6"/>
      <c r="AH45" s="6">
        <v>1.887</v>
      </c>
      <c r="AI45" s="4">
        <f t="shared" ref="AI45:AI46" si="19">ROUND((AH45)*0.202,3)</f>
        <v>0.38100000000000001</v>
      </c>
      <c r="AJ45" s="21">
        <f t="shared" si="18"/>
        <v>1.536</v>
      </c>
      <c r="AK45" s="6">
        <v>7.4999999999999997E-2</v>
      </c>
      <c r="AL45" s="10">
        <f>SUM(AG45:AK45)-0.001</f>
        <v>3.8780000000000001</v>
      </c>
      <c r="AM45" s="10"/>
      <c r="AN45" s="6">
        <v>0</v>
      </c>
      <c r="AO45" s="6">
        <v>0</v>
      </c>
      <c r="AP45" s="6">
        <f>AF45</f>
        <v>1.4999999999999999E-2</v>
      </c>
      <c r="AQ45" s="10">
        <f>AL45</f>
        <v>3.8780000000000001</v>
      </c>
    </row>
    <row r="46" spans="1:43">
      <c r="A46" s="37" t="s">
        <v>121</v>
      </c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4"/>
      <c r="N46" s="21"/>
      <c r="O46" s="6"/>
      <c r="P46" s="10"/>
      <c r="Q46" s="6"/>
      <c r="R46" s="6"/>
      <c r="S46" s="6"/>
      <c r="T46" s="10"/>
      <c r="U46" s="6"/>
      <c r="V46" s="6"/>
      <c r="W46" s="6"/>
      <c r="X46" s="10"/>
      <c r="Y46" s="6"/>
      <c r="Z46" s="10"/>
      <c r="AA46" s="6"/>
      <c r="AB46" s="10"/>
      <c r="AC46" s="6">
        <v>6.0000000000000001E-3</v>
      </c>
      <c r="AD46" s="6" t="s">
        <v>39</v>
      </c>
      <c r="AE46" s="19"/>
      <c r="AF46" s="6">
        <v>6.0000000000000001E-3</v>
      </c>
      <c r="AG46" s="6">
        <v>1.2999999999999999E-2</v>
      </c>
      <c r="AH46" s="6">
        <v>0.70399999999999996</v>
      </c>
      <c r="AI46" s="4">
        <f t="shared" si="19"/>
        <v>0.14199999999999999</v>
      </c>
      <c r="AJ46" s="21">
        <f t="shared" si="18"/>
        <v>0.57299999999999995</v>
      </c>
      <c r="AK46" s="6">
        <v>1.6E-2</v>
      </c>
      <c r="AL46" s="10">
        <f>SUM(AG46:AK46)-0.001</f>
        <v>1.4470000000000001</v>
      </c>
      <c r="AM46" s="10"/>
      <c r="AN46" s="6">
        <v>2E-3</v>
      </c>
      <c r="AO46" s="6">
        <v>3.38</v>
      </c>
      <c r="AP46" s="6">
        <f>AF46</f>
        <v>6.0000000000000001E-3</v>
      </c>
      <c r="AQ46" s="10">
        <f>AL46</f>
        <v>1.4470000000000001</v>
      </c>
    </row>
    <row r="47" spans="1:43">
      <c r="A47" s="37" t="s">
        <v>133</v>
      </c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4">
        <f>ROUND((L47)*0.202,3)</f>
        <v>0</v>
      </c>
      <c r="N47" s="21">
        <f>ROUND((L47)*1.0457,3)</f>
        <v>0</v>
      </c>
      <c r="O47" s="6"/>
      <c r="P47" s="10">
        <f>SUM(K47:O47)</f>
        <v>0</v>
      </c>
      <c r="Q47" s="6"/>
      <c r="R47" s="6"/>
      <c r="S47" s="6">
        <f>I47+E47</f>
        <v>0</v>
      </c>
      <c r="T47" s="10">
        <f>P47</f>
        <v>0</v>
      </c>
      <c r="U47" s="6"/>
      <c r="V47" s="6"/>
      <c r="W47" s="6"/>
      <c r="X47" s="10"/>
      <c r="Y47" s="6"/>
      <c r="Z47" s="10"/>
      <c r="AA47" s="6"/>
      <c r="AB47" s="10"/>
      <c r="AC47" s="6"/>
      <c r="AD47" s="10"/>
      <c r="AE47" s="19"/>
      <c r="AF47" s="6"/>
      <c r="AG47" s="6"/>
      <c r="AH47" s="6"/>
      <c r="AI47" s="4">
        <f>ROUND((AH47)*0.202,3)</f>
        <v>0</v>
      </c>
      <c r="AJ47" s="21">
        <f t="shared" si="18"/>
        <v>0</v>
      </c>
      <c r="AK47" s="6"/>
      <c r="AL47" s="10">
        <f t="shared" ref="AL47" si="20">SUM(AG47:AK47)</f>
        <v>0</v>
      </c>
      <c r="AM47" s="10"/>
      <c r="AN47" s="6">
        <v>3.0000000000000001E-3</v>
      </c>
      <c r="AO47" s="6">
        <v>5.08</v>
      </c>
      <c r="AP47" s="6">
        <f t="shared" si="17"/>
        <v>0</v>
      </c>
      <c r="AQ47" s="6">
        <f t="shared" si="17"/>
        <v>0</v>
      </c>
    </row>
    <row r="48" spans="1:43">
      <c r="A48" s="37" t="s">
        <v>141</v>
      </c>
      <c r="B48" s="14"/>
      <c r="C48" s="6"/>
      <c r="D48" s="6"/>
      <c r="E48" s="6">
        <v>5.1000000000000004E-3</v>
      </c>
      <c r="F48" s="6">
        <v>1.3180000000000001</v>
      </c>
      <c r="G48" s="6"/>
      <c r="H48" s="6"/>
      <c r="I48" s="6"/>
      <c r="J48" s="6"/>
      <c r="K48" s="6"/>
      <c r="L48" s="6">
        <v>0.64100000000000001</v>
      </c>
      <c r="M48" s="4">
        <f>ROUND((L48)*0.202,3)</f>
        <v>0.129</v>
      </c>
      <c r="N48" s="21">
        <f>ROUND((L48)*1.0457,3)</f>
        <v>0.67</v>
      </c>
      <c r="O48" s="6">
        <v>2.5000000000000001E-2</v>
      </c>
      <c r="P48" s="10">
        <f>SUM(K48:O48)</f>
        <v>1.4649999999999999</v>
      </c>
      <c r="Q48" s="6">
        <v>0.01</v>
      </c>
      <c r="R48" s="6">
        <v>17.010000000000002</v>
      </c>
      <c r="S48" s="6">
        <f>I48+E48</f>
        <v>5.1000000000000004E-3</v>
      </c>
      <c r="T48" s="10">
        <f>P48</f>
        <v>1.4649999999999999</v>
      </c>
      <c r="U48" s="6"/>
      <c r="V48" s="6"/>
      <c r="W48" s="6"/>
      <c r="X48" s="10"/>
      <c r="Y48" s="6"/>
      <c r="Z48" s="10"/>
      <c r="AA48" s="6"/>
      <c r="AB48" s="10"/>
      <c r="AC48" s="6"/>
      <c r="AD48" s="10"/>
      <c r="AE48" s="19"/>
      <c r="AF48" s="6"/>
      <c r="AG48" s="6"/>
      <c r="AH48" s="6"/>
      <c r="AI48" s="4">
        <f>ROUND((AH48)*0.202,3)</f>
        <v>0</v>
      </c>
      <c r="AJ48" s="21">
        <f t="shared" si="18"/>
        <v>0</v>
      </c>
      <c r="AK48" s="6"/>
      <c r="AL48" s="10">
        <f>SUM(AG48:AK48)</f>
        <v>0</v>
      </c>
      <c r="AM48" s="10"/>
      <c r="AN48" s="6">
        <v>0.01</v>
      </c>
      <c r="AO48" s="6">
        <v>17.010000000000002</v>
      </c>
      <c r="AP48" s="6">
        <v>1.21E-2</v>
      </c>
      <c r="AQ48" s="6">
        <v>2.1150000000000002</v>
      </c>
    </row>
    <row r="49" spans="1:43">
      <c r="A49" s="37" t="s">
        <v>40</v>
      </c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4"/>
      <c r="N49" s="21"/>
      <c r="O49" s="6"/>
      <c r="P49" s="10"/>
      <c r="Q49" s="6"/>
      <c r="R49" s="6"/>
      <c r="S49" s="6"/>
      <c r="T49" s="10"/>
      <c r="U49" s="6"/>
      <c r="V49" s="6"/>
      <c r="W49" s="6"/>
      <c r="X49" s="10"/>
      <c r="Y49" s="6"/>
      <c r="Z49" s="10"/>
      <c r="AA49" s="6"/>
      <c r="AB49" s="10"/>
      <c r="AC49" s="6"/>
      <c r="AD49" s="10"/>
      <c r="AE49" s="19"/>
      <c r="AF49" s="6"/>
      <c r="AG49" s="6"/>
      <c r="AH49" s="6"/>
      <c r="AI49" s="4"/>
      <c r="AJ49" s="21">
        <f t="shared" si="18"/>
        <v>0</v>
      </c>
      <c r="AK49" s="6"/>
      <c r="AL49" s="10"/>
      <c r="AM49" s="10"/>
      <c r="AN49" s="6">
        <v>1.0999999999999999E-2</v>
      </c>
      <c r="AO49" s="6">
        <v>18.66</v>
      </c>
      <c r="AP49" s="6">
        <f t="shared" si="17"/>
        <v>0</v>
      </c>
      <c r="AQ49" s="6">
        <f t="shared" si="17"/>
        <v>0</v>
      </c>
    </row>
    <row r="50" spans="1:43">
      <c r="A50" s="37" t="s">
        <v>48</v>
      </c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4">
        <f>ROUND((L50)*0.202,3)</f>
        <v>0</v>
      </c>
      <c r="N50" s="21">
        <f>ROUND((L50)*1.0457,3)</f>
        <v>0</v>
      </c>
      <c r="O50" s="6"/>
      <c r="P50" s="10">
        <f>SUM(K50:O50)</f>
        <v>0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9"/>
      <c r="AF50" s="6"/>
      <c r="AG50" s="6"/>
      <c r="AH50" s="6"/>
      <c r="AI50" s="4">
        <f>ROUND((AH50)*0.202,3)</f>
        <v>0</v>
      </c>
      <c r="AJ50" s="21">
        <f t="shared" si="18"/>
        <v>0</v>
      </c>
      <c r="AK50" s="6"/>
      <c r="AL50" s="10">
        <f>SUM(AG50:AK50)</f>
        <v>0</v>
      </c>
      <c r="AM50" s="10"/>
      <c r="AN50" s="6">
        <v>0</v>
      </c>
      <c r="AO50" s="6">
        <v>0</v>
      </c>
      <c r="AP50" s="6">
        <f t="shared" si="17"/>
        <v>0</v>
      </c>
      <c r="AQ50" s="6">
        <f t="shared" si="17"/>
        <v>0</v>
      </c>
    </row>
    <row r="51" spans="1:43">
      <c r="A51" s="37" t="s">
        <v>41</v>
      </c>
      <c r="B51" s="14"/>
      <c r="C51" s="6"/>
      <c r="D51" s="6"/>
      <c r="E51" s="6"/>
      <c r="F51" s="6"/>
      <c r="G51" s="6"/>
      <c r="H51" s="6"/>
      <c r="I51" s="6"/>
      <c r="J51" s="6"/>
      <c r="K51" s="6"/>
      <c r="L51" s="6"/>
      <c r="M51" s="4"/>
      <c r="N51" s="21"/>
      <c r="O51" s="6"/>
      <c r="P51" s="10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9"/>
      <c r="AF51" s="6"/>
      <c r="AG51" s="6"/>
      <c r="AH51" s="6"/>
      <c r="AI51" s="4">
        <f t="shared" ref="AI51:AI53" si="21">ROUND((AH51)*0.202,3)</f>
        <v>0</v>
      </c>
      <c r="AJ51" s="21">
        <f t="shared" si="18"/>
        <v>0</v>
      </c>
      <c r="AK51" s="6"/>
      <c r="AL51" s="10">
        <f t="shared" ref="AL51:AL53" si="22">SUM(AG51:AK51)</f>
        <v>0</v>
      </c>
      <c r="AM51" s="10"/>
      <c r="AN51" s="6">
        <v>5.0000000000000001E-3</v>
      </c>
      <c r="AO51" s="6">
        <v>8.4600000000000009</v>
      </c>
      <c r="AP51" s="6">
        <f t="shared" si="17"/>
        <v>0</v>
      </c>
      <c r="AQ51" s="6">
        <f t="shared" si="17"/>
        <v>0</v>
      </c>
    </row>
    <row r="52" spans="1:43">
      <c r="A52" s="37" t="s">
        <v>51</v>
      </c>
      <c r="B52" s="14"/>
      <c r="C52" s="6"/>
      <c r="D52" s="6"/>
      <c r="E52" s="6"/>
      <c r="F52" s="6"/>
      <c r="G52" s="6"/>
      <c r="H52" s="6"/>
      <c r="I52" s="6"/>
      <c r="J52" s="6"/>
      <c r="K52" s="6"/>
      <c r="L52" s="6"/>
      <c r="M52" s="4"/>
      <c r="N52" s="21"/>
      <c r="O52" s="6"/>
      <c r="P52" s="10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>
        <v>1.2E-2</v>
      </c>
      <c r="AD52" s="6" t="s">
        <v>39</v>
      </c>
      <c r="AE52" s="19"/>
      <c r="AF52" s="6">
        <v>1.2E-2</v>
      </c>
      <c r="AG52" s="6">
        <v>0</v>
      </c>
      <c r="AH52" s="6">
        <v>1.5089999999999999</v>
      </c>
      <c r="AI52" s="4">
        <f t="shared" si="21"/>
        <v>0.30499999999999999</v>
      </c>
      <c r="AJ52" s="21">
        <f t="shared" si="18"/>
        <v>1.228</v>
      </c>
      <c r="AK52" s="6">
        <v>0.06</v>
      </c>
      <c r="AL52" s="10">
        <f t="shared" si="22"/>
        <v>3.1019999999999999</v>
      </c>
      <c r="AM52" s="10"/>
      <c r="AN52" s="6">
        <v>2E-3</v>
      </c>
      <c r="AO52" s="6">
        <v>3.38</v>
      </c>
      <c r="AP52" s="6">
        <f>AF52</f>
        <v>1.2E-2</v>
      </c>
      <c r="AQ52" s="10">
        <f>AL52</f>
        <v>3.1019999999999999</v>
      </c>
    </row>
    <row r="53" spans="1:43">
      <c r="A53" s="37" t="s">
        <v>18</v>
      </c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4"/>
      <c r="N53" s="21"/>
      <c r="O53" s="6"/>
      <c r="P53" s="10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19"/>
      <c r="AF53" s="6"/>
      <c r="AG53" s="6"/>
      <c r="AH53" s="6"/>
      <c r="AI53" s="4">
        <f t="shared" si="21"/>
        <v>0</v>
      </c>
      <c r="AJ53" s="21">
        <f t="shared" si="18"/>
        <v>0</v>
      </c>
      <c r="AK53" s="6"/>
      <c r="AL53" s="10">
        <f t="shared" si="22"/>
        <v>0</v>
      </c>
      <c r="AM53" s="10"/>
      <c r="AN53" s="6">
        <v>5.0000000000000001E-3</v>
      </c>
      <c r="AO53" s="6">
        <v>8.4600000000000009</v>
      </c>
      <c r="AP53" s="6">
        <f t="shared" si="17"/>
        <v>0</v>
      </c>
      <c r="AQ53" s="6">
        <f t="shared" si="17"/>
        <v>0</v>
      </c>
    </row>
    <row r="54" spans="1:43">
      <c r="A54" s="37" t="s">
        <v>28</v>
      </c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>
        <v>0.11</v>
      </c>
      <c r="Y54" s="6"/>
      <c r="Z54" s="6"/>
      <c r="AA54" s="6"/>
      <c r="AB54" s="6"/>
      <c r="AC54" s="6"/>
      <c r="AD54" s="6"/>
      <c r="AE54" s="19"/>
      <c r="AF54" s="6"/>
      <c r="AG54" s="6"/>
      <c r="AH54" s="6"/>
      <c r="AI54" s="6"/>
      <c r="AJ54" s="6"/>
      <c r="AK54" s="6"/>
      <c r="AL54" s="6"/>
      <c r="AM54" s="6"/>
      <c r="AN54" s="6">
        <v>0</v>
      </c>
      <c r="AO54" s="6">
        <v>0</v>
      </c>
      <c r="AP54" s="6">
        <f t="shared" si="17"/>
        <v>0</v>
      </c>
      <c r="AQ54" s="6">
        <v>0.11</v>
      </c>
    </row>
    <row r="55" spans="1:43">
      <c r="A55" s="39" t="s">
        <v>42</v>
      </c>
      <c r="B55" s="33" t="s">
        <v>20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f t="shared" ref="Y55:AD55" si="23">SUM(Y56:Y83)</f>
        <v>15</v>
      </c>
      <c r="Z55" s="30">
        <f t="shared" si="23"/>
        <v>18.996000000000002</v>
      </c>
      <c r="AA55" s="30">
        <f t="shared" si="23"/>
        <v>15</v>
      </c>
      <c r="AB55" s="30">
        <f t="shared" si="23"/>
        <v>18.996000000000002</v>
      </c>
      <c r="AC55" s="30">
        <f t="shared" si="23"/>
        <v>0</v>
      </c>
      <c r="AD55" s="30">
        <f t="shared" si="23"/>
        <v>148.24</v>
      </c>
      <c r="AE55" s="31"/>
      <c r="AF55" s="30">
        <f>SUM(AF56:AF83)</f>
        <v>27</v>
      </c>
      <c r="AG55" s="30">
        <f>SUM(AG56:AG83)</f>
        <v>54.813999999999986</v>
      </c>
      <c r="AH55" s="30">
        <f t="shared" ref="AH55:AL55" si="24">SUM(AH56:AH83)</f>
        <v>9.9909999999999979</v>
      </c>
      <c r="AI55" s="30">
        <f t="shared" si="24"/>
        <v>2.0179999999999998</v>
      </c>
      <c r="AJ55" s="30">
        <f t="shared" si="24"/>
        <v>8.1340000000000039</v>
      </c>
      <c r="AK55" s="30">
        <f t="shared" si="24"/>
        <v>0.55300000000000016</v>
      </c>
      <c r="AL55" s="30">
        <f t="shared" si="24"/>
        <v>75.515000000000001</v>
      </c>
      <c r="AM55" s="30"/>
      <c r="AN55" s="30">
        <f>SUM(AN56:AN83)</f>
        <v>21</v>
      </c>
      <c r="AO55" s="30">
        <v>202.42</v>
      </c>
      <c r="AP55" s="50">
        <f>SUM(AP56:AP83)</f>
        <v>28</v>
      </c>
      <c r="AQ55" s="44">
        <f>SUM(AQ56:AQ83)</f>
        <v>344.35499999999996</v>
      </c>
    </row>
    <row r="56" spans="1:43">
      <c r="A56" s="37" t="s">
        <v>21</v>
      </c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>
        <v>5.2320000000000002</v>
      </c>
      <c r="AE56" s="19"/>
      <c r="AF56" s="6">
        <v>1</v>
      </c>
      <c r="AG56" s="6">
        <v>0.754</v>
      </c>
      <c r="AH56" s="6">
        <v>7.9000000000000001E-2</v>
      </c>
      <c r="AI56" s="4">
        <f>ROUND((AH56)*0.202,3)</f>
        <v>1.6E-2</v>
      </c>
      <c r="AJ56" s="21">
        <f>ROUND((AH56)*0.8138,3)</f>
        <v>6.4000000000000001E-2</v>
      </c>
      <c r="AK56" s="6"/>
      <c r="AL56" s="10">
        <f>SUM(AG56:AK56)+0.001</f>
        <v>0.91400000000000003</v>
      </c>
      <c r="AM56" s="6"/>
      <c r="AN56" s="6">
        <v>0</v>
      </c>
      <c r="AO56" s="6">
        <v>0</v>
      </c>
      <c r="AP56" s="6">
        <v>1</v>
      </c>
      <c r="AQ56" s="10">
        <f t="shared" ref="AQ56:AQ70" si="25">AL56+AD56</f>
        <v>6.1459999999999999</v>
      </c>
    </row>
    <row r="57" spans="1:43">
      <c r="A57" s="37" t="s">
        <v>43</v>
      </c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v>1</v>
      </c>
      <c r="Z57" s="6">
        <v>0.92800000000000005</v>
      </c>
      <c r="AA57" s="6">
        <v>1</v>
      </c>
      <c r="AB57" s="6">
        <v>0.92800000000000005</v>
      </c>
      <c r="AC57" s="6"/>
      <c r="AD57" s="6">
        <v>5.2320000000000002</v>
      </c>
      <c r="AE57" s="19"/>
      <c r="AF57" s="6">
        <v>1</v>
      </c>
      <c r="AG57" s="6">
        <v>0.92800000000000005</v>
      </c>
      <c r="AH57" s="6">
        <v>0.49199999999999999</v>
      </c>
      <c r="AI57" s="4">
        <f>ROUND((AH57)*0.202,3)</f>
        <v>9.9000000000000005E-2</v>
      </c>
      <c r="AJ57" s="21">
        <f>ROUND((AH57)*0.8138,3)</f>
        <v>0.4</v>
      </c>
      <c r="AK57" s="6">
        <v>2.1999999999999999E-2</v>
      </c>
      <c r="AL57" s="10">
        <f>SUM(AG57:AK57)+0.001</f>
        <v>1.9419999999999999</v>
      </c>
      <c r="AM57" s="6"/>
      <c r="AN57" s="6">
        <v>1</v>
      </c>
      <c r="AO57" s="6">
        <v>6.87</v>
      </c>
      <c r="AP57" s="6">
        <v>1</v>
      </c>
      <c r="AQ57" s="10">
        <f t="shared" si="25"/>
        <v>7.1740000000000004</v>
      </c>
    </row>
    <row r="58" spans="1:43">
      <c r="A58" s="37" t="s">
        <v>22</v>
      </c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v>1</v>
      </c>
      <c r="Z58" s="6">
        <v>0.878</v>
      </c>
      <c r="AA58" s="6">
        <v>1</v>
      </c>
      <c r="AB58" s="6">
        <v>0.878</v>
      </c>
      <c r="AC58" s="6"/>
      <c r="AD58" s="6">
        <v>5.2320000000000002</v>
      </c>
      <c r="AE58" s="19"/>
      <c r="AF58" s="6">
        <v>1</v>
      </c>
      <c r="AG58" s="6">
        <v>1.2829999999999999</v>
      </c>
      <c r="AH58" s="6">
        <v>0.82</v>
      </c>
      <c r="AI58" s="4">
        <f t="shared" ref="AI58:AI82" si="26">ROUND((AH58)*0.202,3)</f>
        <v>0.16600000000000001</v>
      </c>
      <c r="AJ58" s="21">
        <f t="shared" ref="AJ58:AJ78" si="27">ROUND((AH58)*0.8138,3)</f>
        <v>0.66700000000000004</v>
      </c>
      <c r="AK58" s="6">
        <v>3.3000000000000002E-2</v>
      </c>
      <c r="AL58" s="10">
        <f t="shared" ref="AL58:AL81" si="28">SUM(AG58:AK58)</f>
        <v>2.9689999999999999</v>
      </c>
      <c r="AM58" s="6"/>
      <c r="AN58" s="6">
        <v>1</v>
      </c>
      <c r="AO58" s="6">
        <v>10.29</v>
      </c>
      <c r="AP58" s="6">
        <v>1</v>
      </c>
      <c r="AQ58" s="10">
        <f t="shared" si="25"/>
        <v>8.2010000000000005</v>
      </c>
    </row>
    <row r="59" spans="1:43">
      <c r="A59" s="37" t="s">
        <v>44</v>
      </c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v>1</v>
      </c>
      <c r="Z59" s="6">
        <v>6.7030000000000003</v>
      </c>
      <c r="AA59" s="6">
        <v>1</v>
      </c>
      <c r="AB59" s="6">
        <v>6.7030000000000003</v>
      </c>
      <c r="AC59" s="6"/>
      <c r="AD59" s="6">
        <v>6.976</v>
      </c>
      <c r="AE59" s="19"/>
      <c r="AF59" s="6">
        <v>1</v>
      </c>
      <c r="AG59" s="6">
        <v>6.5129999999999999</v>
      </c>
      <c r="AH59" s="6">
        <v>1.1559999999999999</v>
      </c>
      <c r="AI59" s="4">
        <f t="shared" si="26"/>
        <v>0.23400000000000001</v>
      </c>
      <c r="AJ59" s="21">
        <f t="shared" si="27"/>
        <v>0.94099999999999995</v>
      </c>
      <c r="AK59" s="6">
        <v>4.7E-2</v>
      </c>
      <c r="AL59" s="10">
        <f>SUM(AG59:AK59)-0.001</f>
        <v>8.89</v>
      </c>
      <c r="AM59" s="6"/>
      <c r="AN59" s="6">
        <v>1</v>
      </c>
      <c r="AO59" s="6">
        <v>20.58</v>
      </c>
      <c r="AP59" s="6">
        <v>1</v>
      </c>
      <c r="AQ59" s="10">
        <f t="shared" si="25"/>
        <v>15.866</v>
      </c>
    </row>
    <row r="60" spans="1:43">
      <c r="A60" s="37" t="s">
        <v>36</v>
      </c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>
        <v>6.976</v>
      </c>
      <c r="AE60" s="19"/>
      <c r="AF60" s="6">
        <v>1</v>
      </c>
      <c r="AG60" s="6">
        <v>2.105</v>
      </c>
      <c r="AH60" s="6">
        <v>1.3089999999999999</v>
      </c>
      <c r="AI60" s="4">
        <f t="shared" si="26"/>
        <v>0.26400000000000001</v>
      </c>
      <c r="AJ60" s="21">
        <f t="shared" si="27"/>
        <v>1.0649999999999999</v>
      </c>
      <c r="AK60" s="6">
        <v>0.125</v>
      </c>
      <c r="AL60" s="10">
        <f t="shared" si="28"/>
        <v>4.8680000000000003</v>
      </c>
      <c r="AM60" s="6"/>
      <c r="AN60" s="6">
        <v>0</v>
      </c>
      <c r="AO60" s="6">
        <v>0</v>
      </c>
      <c r="AP60" s="6">
        <v>1</v>
      </c>
      <c r="AQ60" s="10">
        <v>57.64</v>
      </c>
    </row>
    <row r="61" spans="1:43">
      <c r="A61" s="37" t="s">
        <v>37</v>
      </c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>
        <v>5.2320000000000002</v>
      </c>
      <c r="AE61" s="19"/>
      <c r="AF61" s="6">
        <v>1</v>
      </c>
      <c r="AG61" s="6">
        <v>0.754</v>
      </c>
      <c r="AH61" s="6">
        <v>7.9000000000000001E-2</v>
      </c>
      <c r="AI61" s="4">
        <f t="shared" si="26"/>
        <v>1.6E-2</v>
      </c>
      <c r="AJ61" s="21">
        <f>ROUND((AH61)*0.8138,3)+0.001</f>
        <v>6.5000000000000002E-2</v>
      </c>
      <c r="AK61" s="6"/>
      <c r="AL61" s="10">
        <f t="shared" si="28"/>
        <v>0.91399999999999992</v>
      </c>
      <c r="AM61" s="6"/>
      <c r="AN61" s="6">
        <v>1</v>
      </c>
      <c r="AO61" s="6">
        <v>9.76</v>
      </c>
      <c r="AP61" s="6">
        <v>1</v>
      </c>
      <c r="AQ61" s="10">
        <f t="shared" si="25"/>
        <v>6.1459999999999999</v>
      </c>
    </row>
    <row r="62" spans="1:43">
      <c r="A62" s="37" t="s">
        <v>23</v>
      </c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v>1</v>
      </c>
      <c r="Z62" s="6">
        <v>1.35</v>
      </c>
      <c r="AA62" s="6">
        <v>1</v>
      </c>
      <c r="AB62" s="6">
        <v>1.35</v>
      </c>
      <c r="AC62" s="6"/>
      <c r="AD62" s="6">
        <v>5.2320000000000002</v>
      </c>
      <c r="AE62" s="19"/>
      <c r="AF62" s="6">
        <v>1</v>
      </c>
      <c r="AG62" s="6">
        <v>1.35</v>
      </c>
      <c r="AH62" s="6">
        <v>0.82</v>
      </c>
      <c r="AI62" s="4">
        <f t="shared" si="26"/>
        <v>0.16600000000000001</v>
      </c>
      <c r="AJ62" s="21">
        <f t="shared" si="27"/>
        <v>0.66700000000000004</v>
      </c>
      <c r="AK62" s="6">
        <v>3.4000000000000002E-2</v>
      </c>
      <c r="AL62" s="10">
        <f t="shared" si="28"/>
        <v>3.0369999999999999</v>
      </c>
      <c r="AM62" s="6"/>
      <c r="AN62" s="6">
        <v>1</v>
      </c>
      <c r="AO62" s="6">
        <v>9.83</v>
      </c>
      <c r="AP62" s="6">
        <v>1</v>
      </c>
      <c r="AQ62" s="10">
        <f t="shared" si="25"/>
        <v>8.2690000000000001</v>
      </c>
    </row>
    <row r="63" spans="1:43">
      <c r="A63" s="37" t="s">
        <v>38</v>
      </c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6.976</v>
      </c>
      <c r="AE63" s="19"/>
      <c r="AF63" s="6">
        <v>1</v>
      </c>
      <c r="AG63" s="6">
        <v>8.3209999999999997</v>
      </c>
      <c r="AH63" s="6">
        <v>0.58799999999999997</v>
      </c>
      <c r="AI63" s="4">
        <f t="shared" si="26"/>
        <v>0.11899999999999999</v>
      </c>
      <c r="AJ63" s="21">
        <f t="shared" si="27"/>
        <v>0.47899999999999998</v>
      </c>
      <c r="AK63" s="6">
        <v>3.5000000000000003E-2</v>
      </c>
      <c r="AL63" s="10">
        <f t="shared" si="28"/>
        <v>9.541999999999998</v>
      </c>
      <c r="AM63" s="6"/>
      <c r="AN63" s="6">
        <v>0</v>
      </c>
      <c r="AO63" s="6">
        <v>0</v>
      </c>
      <c r="AP63" s="6">
        <v>1</v>
      </c>
      <c r="AQ63" s="10">
        <f t="shared" si="25"/>
        <v>16.517999999999997</v>
      </c>
    </row>
    <row r="64" spans="1:43">
      <c r="A64" s="37" t="s">
        <v>45</v>
      </c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>
        <v>1</v>
      </c>
      <c r="Z64" s="6">
        <v>4.38</v>
      </c>
      <c r="AA64" s="6">
        <v>1</v>
      </c>
      <c r="AB64" s="6">
        <v>4.38</v>
      </c>
      <c r="AC64" s="6"/>
      <c r="AD64" s="6">
        <v>5.2320000000000002</v>
      </c>
      <c r="AE64" s="19"/>
      <c r="AF64" s="6">
        <v>1</v>
      </c>
      <c r="AG64" s="6">
        <v>6.3570000000000002</v>
      </c>
      <c r="AH64" s="6">
        <v>0.82099999999999995</v>
      </c>
      <c r="AI64" s="4">
        <f t="shared" si="26"/>
        <v>0.16600000000000001</v>
      </c>
      <c r="AJ64" s="21">
        <f t="shared" si="27"/>
        <v>0.66800000000000004</v>
      </c>
      <c r="AK64" s="6">
        <v>6.9000000000000006E-2</v>
      </c>
      <c r="AL64" s="10">
        <f>SUM(AG64:AK64)+0.001</f>
        <v>8.0820000000000007</v>
      </c>
      <c r="AM64" s="6"/>
      <c r="AN64" s="6">
        <v>1</v>
      </c>
      <c r="AO64" s="6">
        <v>7.27</v>
      </c>
      <c r="AP64" s="6">
        <v>1</v>
      </c>
      <c r="AQ64" s="10">
        <f t="shared" si="25"/>
        <v>13.314</v>
      </c>
    </row>
    <row r="65" spans="1:43">
      <c r="A65" s="37" t="s">
        <v>46</v>
      </c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>
        <v>5.2320000000000002</v>
      </c>
      <c r="AE65" s="19"/>
      <c r="AF65" s="6">
        <v>1</v>
      </c>
      <c r="AG65" s="6">
        <v>0.86299999999999999</v>
      </c>
      <c r="AH65" s="6">
        <v>0.14899999999999999</v>
      </c>
      <c r="AI65" s="4">
        <f t="shared" si="26"/>
        <v>0.03</v>
      </c>
      <c r="AJ65" s="21">
        <f t="shared" si="27"/>
        <v>0.121</v>
      </c>
      <c r="AK65" s="6"/>
      <c r="AL65" s="10">
        <f>SUM(AG65:AK65)+0.001</f>
        <v>1.1639999999999999</v>
      </c>
      <c r="AM65" s="6"/>
      <c r="AN65" s="6">
        <v>1</v>
      </c>
      <c r="AO65" s="6">
        <v>13.72</v>
      </c>
      <c r="AP65" s="6">
        <v>1</v>
      </c>
      <c r="AQ65" s="10">
        <f t="shared" si="25"/>
        <v>6.3959999999999999</v>
      </c>
    </row>
    <row r="66" spans="1:43">
      <c r="A66" s="37" t="s">
        <v>24</v>
      </c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v>1</v>
      </c>
      <c r="Z66" s="6">
        <v>0.621</v>
      </c>
      <c r="AA66" s="6">
        <v>1</v>
      </c>
      <c r="AB66" s="6">
        <v>0.621</v>
      </c>
      <c r="AC66" s="6"/>
      <c r="AD66" s="6">
        <v>5.2320000000000002</v>
      </c>
      <c r="AE66" s="19"/>
      <c r="AF66" s="6">
        <v>1</v>
      </c>
      <c r="AG66" s="6">
        <v>0.66</v>
      </c>
      <c r="AH66" s="6">
        <v>0.32800000000000001</v>
      </c>
      <c r="AI66" s="4">
        <f t="shared" si="26"/>
        <v>6.6000000000000003E-2</v>
      </c>
      <c r="AJ66" s="21">
        <f t="shared" si="27"/>
        <v>0.26700000000000002</v>
      </c>
      <c r="AK66" s="6">
        <v>1.0999999999999999E-2</v>
      </c>
      <c r="AL66" s="10">
        <f t="shared" si="28"/>
        <v>1.3320000000000001</v>
      </c>
      <c r="AM66" s="6"/>
      <c r="AN66" s="6">
        <v>1</v>
      </c>
      <c r="AO66" s="6">
        <v>10.14</v>
      </c>
      <c r="AP66" s="6">
        <v>1</v>
      </c>
      <c r="AQ66" s="10">
        <f t="shared" si="25"/>
        <v>6.5640000000000001</v>
      </c>
    </row>
    <row r="67" spans="1:43">
      <c r="A67" s="37" t="s">
        <v>47</v>
      </c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>
        <v>5.2320000000000002</v>
      </c>
      <c r="AE67" s="19"/>
      <c r="AF67" s="6">
        <v>1</v>
      </c>
      <c r="AG67" s="6">
        <v>4.9770000000000003</v>
      </c>
      <c r="AH67" s="6">
        <v>0.36199999999999999</v>
      </c>
      <c r="AI67" s="4">
        <f t="shared" si="26"/>
        <v>7.2999999999999995E-2</v>
      </c>
      <c r="AJ67" s="21">
        <f>ROUND((AH67)*0.8138,3)-0.001</f>
        <v>0.29399999999999998</v>
      </c>
      <c r="AK67" s="6">
        <v>2.4E-2</v>
      </c>
      <c r="AL67" s="10">
        <f t="shared" si="28"/>
        <v>5.73</v>
      </c>
      <c r="AM67" s="6"/>
      <c r="AN67" s="6">
        <v>1</v>
      </c>
      <c r="AO67" s="6">
        <v>7.31</v>
      </c>
      <c r="AP67" s="6">
        <v>1</v>
      </c>
      <c r="AQ67" s="10">
        <f t="shared" si="25"/>
        <v>10.962</v>
      </c>
    </row>
    <row r="68" spans="1:43">
      <c r="A68" s="37" t="s">
        <v>40</v>
      </c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>
        <v>5.2320000000000002</v>
      </c>
      <c r="AE68" s="19"/>
      <c r="AF68" s="6">
        <v>1</v>
      </c>
      <c r="AG68" s="6">
        <v>0.754</v>
      </c>
      <c r="AH68" s="6">
        <v>7.9000000000000001E-2</v>
      </c>
      <c r="AI68" s="4">
        <f t="shared" si="26"/>
        <v>1.6E-2</v>
      </c>
      <c r="AJ68" s="21">
        <f>ROUND((AH68)*0.8138,3)+0.001</f>
        <v>6.5000000000000002E-2</v>
      </c>
      <c r="AK68" s="6"/>
      <c r="AL68" s="10">
        <f t="shared" si="28"/>
        <v>0.91399999999999992</v>
      </c>
      <c r="AM68" s="6"/>
      <c r="AN68" s="6">
        <v>1</v>
      </c>
      <c r="AO68" s="6">
        <v>7.36</v>
      </c>
      <c r="AP68" s="6">
        <v>1</v>
      </c>
      <c r="AQ68" s="10">
        <f t="shared" si="25"/>
        <v>6.1459999999999999</v>
      </c>
    </row>
    <row r="69" spans="1:43">
      <c r="A69" s="37" t="s">
        <v>48</v>
      </c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>
        <v>5.2320000000000002</v>
      </c>
      <c r="AE69" s="19"/>
      <c r="AF69" s="6">
        <v>1</v>
      </c>
      <c r="AG69" s="6">
        <v>0.754</v>
      </c>
      <c r="AH69" s="6">
        <v>7.9000000000000001E-2</v>
      </c>
      <c r="AI69" s="4">
        <f t="shared" si="26"/>
        <v>1.6E-2</v>
      </c>
      <c r="AJ69" s="21">
        <f>ROUND((AH69)*0.8138,3)+0.001</f>
        <v>6.5000000000000002E-2</v>
      </c>
      <c r="AK69" s="6"/>
      <c r="AL69" s="10">
        <f t="shared" si="28"/>
        <v>0.91399999999999992</v>
      </c>
      <c r="AM69" s="6"/>
      <c r="AN69" s="6">
        <v>1</v>
      </c>
      <c r="AO69" s="6">
        <v>6.96</v>
      </c>
      <c r="AP69" s="6">
        <v>1</v>
      </c>
      <c r="AQ69" s="10">
        <f t="shared" si="25"/>
        <v>6.1459999999999999</v>
      </c>
    </row>
    <row r="70" spans="1:43">
      <c r="A70" s="37" t="s">
        <v>41</v>
      </c>
      <c r="B70" s="1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>
        <v>5.2320000000000002</v>
      </c>
      <c r="AE70" s="19"/>
      <c r="AF70" s="6">
        <v>1</v>
      </c>
      <c r="AG70" s="6">
        <v>0.754</v>
      </c>
      <c r="AH70" s="6">
        <v>7.9000000000000001E-2</v>
      </c>
      <c r="AI70" s="4">
        <f t="shared" si="26"/>
        <v>1.6E-2</v>
      </c>
      <c r="AJ70" s="21">
        <f>ROUND((AH70)*0.8138,3)+0.001</f>
        <v>6.5000000000000002E-2</v>
      </c>
      <c r="AK70" s="6"/>
      <c r="AL70" s="10">
        <f t="shared" si="28"/>
        <v>0.91399999999999992</v>
      </c>
      <c r="AM70" s="6"/>
      <c r="AN70" s="6">
        <v>0</v>
      </c>
      <c r="AO70" s="6">
        <v>0</v>
      </c>
      <c r="AP70" s="6">
        <v>1</v>
      </c>
      <c r="AQ70" s="10">
        <f t="shared" si="25"/>
        <v>6.1459999999999999</v>
      </c>
    </row>
    <row r="71" spans="1:43">
      <c r="A71" s="37" t="s">
        <v>49</v>
      </c>
      <c r="B71" s="1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>
        <v>5.2320000000000002</v>
      </c>
      <c r="AE71" s="19"/>
      <c r="AF71" s="6">
        <v>1</v>
      </c>
      <c r="AG71" s="6">
        <v>0.754</v>
      </c>
      <c r="AH71" s="6">
        <v>7.9000000000000001E-2</v>
      </c>
      <c r="AI71" s="4">
        <f t="shared" si="26"/>
        <v>1.6E-2</v>
      </c>
      <c r="AJ71" s="21">
        <f>ROUND((AH71)*0.8138,3)+0.001</f>
        <v>6.5000000000000002E-2</v>
      </c>
      <c r="AK71" s="6"/>
      <c r="AL71" s="10">
        <f t="shared" si="28"/>
        <v>0.91399999999999992</v>
      </c>
      <c r="AM71" s="6"/>
      <c r="AN71" s="6">
        <v>0</v>
      </c>
      <c r="AO71" s="6">
        <v>0</v>
      </c>
      <c r="AP71" s="6">
        <v>1</v>
      </c>
      <c r="AQ71" s="10">
        <v>3.488</v>
      </c>
    </row>
    <row r="72" spans="1:43">
      <c r="A72" s="37" t="s">
        <v>50</v>
      </c>
      <c r="B72" s="1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>
        <v>1</v>
      </c>
      <c r="Z72" s="6">
        <v>0.54400000000000004</v>
      </c>
      <c r="AA72" s="6">
        <v>1</v>
      </c>
      <c r="AB72" s="6">
        <v>0.54400000000000004</v>
      </c>
      <c r="AC72" s="6"/>
      <c r="AD72" s="6">
        <v>3.488</v>
      </c>
      <c r="AE72" s="19"/>
      <c r="AF72" s="6">
        <v>1</v>
      </c>
      <c r="AG72" s="6"/>
      <c r="AH72" s="6"/>
      <c r="AI72" s="4">
        <f t="shared" si="26"/>
        <v>0</v>
      </c>
      <c r="AJ72" s="21">
        <f t="shared" si="27"/>
        <v>0</v>
      </c>
      <c r="AK72" s="6"/>
      <c r="AL72" s="10">
        <f t="shared" si="28"/>
        <v>0</v>
      </c>
      <c r="AM72" s="6"/>
      <c r="AN72" s="6">
        <v>1</v>
      </c>
      <c r="AO72" s="6">
        <v>4.32</v>
      </c>
      <c r="AP72" s="6">
        <v>1</v>
      </c>
      <c r="AQ72" s="10">
        <v>3.488</v>
      </c>
    </row>
    <row r="73" spans="1:43">
      <c r="A73" s="37" t="s">
        <v>25</v>
      </c>
      <c r="B73" s="1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>
        <v>1</v>
      </c>
      <c r="Z73" s="6">
        <v>0.54400000000000004</v>
      </c>
      <c r="AA73" s="6">
        <v>1</v>
      </c>
      <c r="AB73" s="6">
        <v>0.54400000000000004</v>
      </c>
      <c r="AC73" s="6"/>
      <c r="AD73" s="6">
        <v>3.488</v>
      </c>
      <c r="AE73" s="19"/>
      <c r="AF73" s="6">
        <v>1</v>
      </c>
      <c r="AG73" s="6"/>
      <c r="AH73" s="6"/>
      <c r="AI73" s="4">
        <f t="shared" si="26"/>
        <v>0</v>
      </c>
      <c r="AJ73" s="21">
        <f t="shared" si="27"/>
        <v>0</v>
      </c>
      <c r="AK73" s="6"/>
      <c r="AL73" s="10">
        <f t="shared" si="28"/>
        <v>0</v>
      </c>
      <c r="AM73" s="6"/>
      <c r="AN73" s="6">
        <v>1</v>
      </c>
      <c r="AO73" s="6">
        <v>4.42</v>
      </c>
      <c r="AP73" s="6">
        <v>1</v>
      </c>
      <c r="AQ73" s="10">
        <v>3.488</v>
      </c>
    </row>
    <row r="74" spans="1:43">
      <c r="A74" s="37" t="s">
        <v>51</v>
      </c>
      <c r="B74" s="1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>
        <v>6.976</v>
      </c>
      <c r="AE74" s="19"/>
      <c r="AF74" s="6">
        <v>1</v>
      </c>
      <c r="AG74" s="6">
        <v>0.754</v>
      </c>
      <c r="AH74" s="6">
        <v>7.9000000000000001E-2</v>
      </c>
      <c r="AI74" s="4">
        <f t="shared" si="26"/>
        <v>1.6E-2</v>
      </c>
      <c r="AJ74" s="21">
        <f>ROUND((AH74)*0.8138,3)+0.001</f>
        <v>6.5000000000000002E-2</v>
      </c>
      <c r="AK74" s="6"/>
      <c r="AL74" s="10">
        <f t="shared" si="28"/>
        <v>0.91399999999999992</v>
      </c>
      <c r="AM74" s="6"/>
      <c r="AN74" s="6">
        <v>0</v>
      </c>
      <c r="AO74" s="6">
        <v>0</v>
      </c>
      <c r="AP74" s="6">
        <v>1</v>
      </c>
      <c r="AQ74" s="10">
        <v>35.86</v>
      </c>
    </row>
    <row r="75" spans="1:43">
      <c r="A75" s="37" t="s">
        <v>52</v>
      </c>
      <c r="B75" s="1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>
        <v>1</v>
      </c>
      <c r="Z75" s="6">
        <v>1.1000000000000001</v>
      </c>
      <c r="AA75" s="6">
        <v>1</v>
      </c>
      <c r="AB75" s="6">
        <v>1.1000000000000001</v>
      </c>
      <c r="AC75" s="6"/>
      <c r="AD75" s="6">
        <v>6.976</v>
      </c>
      <c r="AE75" s="19"/>
      <c r="AF75" s="6">
        <v>1</v>
      </c>
      <c r="AG75" s="6">
        <v>2.7040000000000002</v>
      </c>
      <c r="AH75" s="6">
        <v>0.68899999999999995</v>
      </c>
      <c r="AI75" s="4">
        <f t="shared" si="26"/>
        <v>0.13900000000000001</v>
      </c>
      <c r="AJ75" s="21">
        <f t="shared" si="27"/>
        <v>0.56100000000000005</v>
      </c>
      <c r="AK75" s="6">
        <v>3.5000000000000003E-2</v>
      </c>
      <c r="AL75" s="10">
        <f>SUM(AG75:AK75)+0.001</f>
        <v>4.1290000000000004</v>
      </c>
      <c r="AM75" s="6"/>
      <c r="AN75" s="6">
        <v>1</v>
      </c>
      <c r="AO75" s="6">
        <v>34.299999999999997</v>
      </c>
      <c r="AP75" s="6">
        <v>1</v>
      </c>
      <c r="AQ75" s="10">
        <v>33.752000000000002</v>
      </c>
    </row>
    <row r="76" spans="1:43">
      <c r="A76" s="37" t="s">
        <v>53</v>
      </c>
      <c r="B76" s="1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>
        <v>6.976</v>
      </c>
      <c r="AE76" s="19"/>
      <c r="AF76" s="6">
        <v>1</v>
      </c>
      <c r="AG76" s="6">
        <v>0.40500000000000003</v>
      </c>
      <c r="AH76" s="6">
        <v>0.16400000000000001</v>
      </c>
      <c r="AI76" s="4">
        <f t="shared" si="26"/>
        <v>3.3000000000000002E-2</v>
      </c>
      <c r="AJ76" s="21">
        <f t="shared" si="27"/>
        <v>0.13300000000000001</v>
      </c>
      <c r="AK76" s="6">
        <v>2.5000000000000001E-2</v>
      </c>
      <c r="AL76" s="10">
        <f t="shared" si="28"/>
        <v>0.76000000000000012</v>
      </c>
      <c r="AM76" s="6"/>
      <c r="AN76" s="6">
        <v>0</v>
      </c>
      <c r="AO76" s="6">
        <v>0</v>
      </c>
      <c r="AP76" s="6">
        <v>1</v>
      </c>
      <c r="AQ76" s="10">
        <v>34.58</v>
      </c>
    </row>
    <row r="77" spans="1:43">
      <c r="A77" s="37" t="s">
        <v>54</v>
      </c>
      <c r="B77" s="1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>
        <v>1</v>
      </c>
      <c r="Z77" s="6">
        <v>0.1</v>
      </c>
      <c r="AA77" s="6">
        <v>1</v>
      </c>
      <c r="AB77" s="6">
        <v>0.1</v>
      </c>
      <c r="AC77" s="6"/>
      <c r="AD77" s="6">
        <v>5.2320000000000002</v>
      </c>
      <c r="AE77" s="19"/>
      <c r="AF77" s="6">
        <v>1</v>
      </c>
      <c r="AG77" s="6"/>
      <c r="AH77" s="6"/>
      <c r="AI77" s="4">
        <f t="shared" si="26"/>
        <v>0</v>
      </c>
      <c r="AJ77" s="21">
        <f t="shared" si="27"/>
        <v>0</v>
      </c>
      <c r="AK77" s="6"/>
      <c r="AL77" s="10">
        <f t="shared" si="28"/>
        <v>0</v>
      </c>
      <c r="AM77" s="6"/>
      <c r="AN77" s="6">
        <v>1</v>
      </c>
      <c r="AO77" s="6">
        <v>9.3000000000000007</v>
      </c>
      <c r="AP77" s="6">
        <v>1</v>
      </c>
      <c r="AQ77" s="10">
        <v>5.2329999999999997</v>
      </c>
    </row>
    <row r="78" spans="1:43">
      <c r="A78" s="37" t="s">
        <v>55</v>
      </c>
      <c r="B78" s="1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>
        <v>1</v>
      </c>
      <c r="Z78" s="6">
        <v>0.11</v>
      </c>
      <c r="AA78" s="6">
        <v>1</v>
      </c>
      <c r="AB78" s="6">
        <v>0.11</v>
      </c>
      <c r="AC78" s="6"/>
      <c r="AD78" s="6">
        <v>5.2320000000000002</v>
      </c>
      <c r="AE78" s="19"/>
      <c r="AF78" s="6">
        <v>1</v>
      </c>
      <c r="AG78" s="6"/>
      <c r="AH78" s="6"/>
      <c r="AI78" s="4">
        <f t="shared" si="26"/>
        <v>0</v>
      </c>
      <c r="AJ78" s="21">
        <f t="shared" si="27"/>
        <v>0</v>
      </c>
      <c r="AK78" s="6"/>
      <c r="AL78" s="10">
        <f t="shared" si="28"/>
        <v>0</v>
      </c>
      <c r="AM78" s="6"/>
      <c r="AN78" s="6">
        <v>1</v>
      </c>
      <c r="AO78" s="6">
        <v>9.15</v>
      </c>
      <c r="AP78" s="6">
        <v>1</v>
      </c>
      <c r="AQ78" s="10">
        <v>5.2320000000000002</v>
      </c>
    </row>
    <row r="79" spans="1:43">
      <c r="A79" s="37" t="s">
        <v>56</v>
      </c>
      <c r="B79" s="1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>
        <v>1</v>
      </c>
      <c r="Z79" s="6">
        <v>0.108</v>
      </c>
      <c r="AA79" s="6">
        <v>1</v>
      </c>
      <c r="AB79" s="6">
        <v>0.108</v>
      </c>
      <c r="AC79" s="6"/>
      <c r="AD79" s="6">
        <v>5.2320000000000002</v>
      </c>
      <c r="AE79" s="19"/>
      <c r="AF79" s="6">
        <v>1</v>
      </c>
      <c r="AG79" s="6">
        <v>9.9529999999999994</v>
      </c>
      <c r="AH79" s="6">
        <v>0.72299999999999998</v>
      </c>
      <c r="AI79" s="4">
        <f t="shared" si="26"/>
        <v>0.14599999999999999</v>
      </c>
      <c r="AJ79" s="21">
        <f>ROUND((AH79)*0.8138,3)+0.001</f>
        <v>0.58899999999999997</v>
      </c>
      <c r="AK79" s="6">
        <v>4.7E-2</v>
      </c>
      <c r="AL79" s="10">
        <f t="shared" si="28"/>
        <v>11.458000000000002</v>
      </c>
      <c r="AM79" s="6"/>
      <c r="AN79" s="6">
        <v>1</v>
      </c>
      <c r="AO79" s="6">
        <v>9.1999999999999993</v>
      </c>
      <c r="AP79" s="6">
        <v>1</v>
      </c>
      <c r="AQ79" s="10">
        <f t="shared" ref="AQ79:AQ82" si="29">AL79+AD79</f>
        <v>16.690000000000001</v>
      </c>
    </row>
    <row r="80" spans="1:43">
      <c r="A80" s="37" t="s">
        <v>26</v>
      </c>
      <c r="B80" s="1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>
        <v>5.2320000000000002</v>
      </c>
      <c r="AE80" s="19"/>
      <c r="AF80" s="6"/>
      <c r="AG80" s="6"/>
      <c r="AH80" s="6"/>
      <c r="AI80" s="4">
        <f t="shared" si="26"/>
        <v>0</v>
      </c>
      <c r="AJ80" s="21">
        <f t="shared" ref="AJ80:AJ82" si="30">ROUND((AH80)*0.8138,3)</f>
        <v>0</v>
      </c>
      <c r="AK80" s="6"/>
      <c r="AL80" s="10">
        <f t="shared" si="28"/>
        <v>0</v>
      </c>
      <c r="AM80" s="6"/>
      <c r="AN80" s="6">
        <v>1</v>
      </c>
      <c r="AO80" s="6">
        <v>11.67</v>
      </c>
      <c r="AP80" s="6">
        <v>1</v>
      </c>
      <c r="AQ80" s="10">
        <v>5.2320000000000002</v>
      </c>
    </row>
    <row r="81" spans="1:43">
      <c r="A81" s="37" t="s">
        <v>27</v>
      </c>
      <c r="B81" s="1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1</v>
      </c>
      <c r="Z81" s="6">
        <v>0.54</v>
      </c>
      <c r="AA81" s="6">
        <v>1</v>
      </c>
      <c r="AB81" s="6">
        <v>0.54</v>
      </c>
      <c r="AC81" s="6"/>
      <c r="AD81" s="6">
        <v>3.488</v>
      </c>
      <c r="AE81" s="19"/>
      <c r="AF81" s="6">
        <v>1</v>
      </c>
      <c r="AG81" s="6">
        <v>0.63100000000000001</v>
      </c>
      <c r="AH81" s="6">
        <v>0.32800000000000001</v>
      </c>
      <c r="AI81" s="4">
        <f t="shared" si="26"/>
        <v>6.6000000000000003E-2</v>
      </c>
      <c r="AJ81" s="21">
        <f t="shared" si="30"/>
        <v>0.26700000000000002</v>
      </c>
      <c r="AK81" s="6">
        <v>1.0999999999999999E-2</v>
      </c>
      <c r="AL81" s="10">
        <f t="shared" si="28"/>
        <v>1.3030000000000002</v>
      </c>
      <c r="AM81" s="6"/>
      <c r="AN81" s="6">
        <v>1</v>
      </c>
      <c r="AO81" s="6">
        <v>3.38</v>
      </c>
      <c r="AP81" s="6">
        <v>1</v>
      </c>
      <c r="AQ81" s="10">
        <f t="shared" si="29"/>
        <v>4.7910000000000004</v>
      </c>
    </row>
    <row r="82" spans="1:43">
      <c r="A82" s="37" t="s">
        <v>57</v>
      </c>
      <c r="B82" s="1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>
        <v>1</v>
      </c>
      <c r="Z82" s="6">
        <v>0.54</v>
      </c>
      <c r="AA82" s="6">
        <v>1</v>
      </c>
      <c r="AB82" s="6">
        <v>0.54</v>
      </c>
      <c r="AC82" s="6"/>
      <c r="AD82" s="6">
        <v>3.488</v>
      </c>
      <c r="AE82" s="19"/>
      <c r="AF82" s="6">
        <v>1</v>
      </c>
      <c r="AG82" s="6">
        <v>2.4860000000000002</v>
      </c>
      <c r="AH82" s="6">
        <v>0.68899999999999995</v>
      </c>
      <c r="AI82" s="4">
        <f t="shared" si="26"/>
        <v>0.13900000000000001</v>
      </c>
      <c r="AJ82" s="21">
        <f t="shared" si="30"/>
        <v>0.56100000000000005</v>
      </c>
      <c r="AK82" s="6">
        <v>3.5000000000000003E-2</v>
      </c>
      <c r="AL82" s="10">
        <f>SUM(AG82:AK82)+0.001</f>
        <v>3.911</v>
      </c>
      <c r="AM82" s="6"/>
      <c r="AN82" s="6">
        <v>1</v>
      </c>
      <c r="AO82" s="6">
        <v>3.34</v>
      </c>
      <c r="AP82" s="6">
        <v>1</v>
      </c>
      <c r="AQ82" s="10">
        <f t="shared" si="29"/>
        <v>7.399</v>
      </c>
    </row>
    <row r="83" spans="1:43">
      <c r="A83" s="37" t="s">
        <v>29</v>
      </c>
      <c r="B83" s="1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>
        <v>1</v>
      </c>
      <c r="Z83" s="6">
        <v>0.55000000000000004</v>
      </c>
      <c r="AA83" s="6">
        <v>1</v>
      </c>
      <c r="AB83" s="6">
        <v>0.55000000000000004</v>
      </c>
      <c r="AC83" s="6"/>
      <c r="AD83" s="6">
        <v>3.488</v>
      </c>
      <c r="AE83" s="19"/>
      <c r="AF83" s="6">
        <v>1</v>
      </c>
      <c r="AG83" s="6"/>
      <c r="AH83" s="6"/>
      <c r="AI83" s="6"/>
      <c r="AJ83" s="6"/>
      <c r="AK83" s="6"/>
      <c r="AL83" s="6"/>
      <c r="AM83" s="6"/>
      <c r="AN83" s="6">
        <v>1</v>
      </c>
      <c r="AO83" s="6">
        <v>3.25</v>
      </c>
      <c r="AP83" s="6">
        <v>1</v>
      </c>
      <c r="AQ83" s="10">
        <v>3.488</v>
      </c>
    </row>
    <row r="84" spans="1:43">
      <c r="A84" s="39" t="s">
        <v>58</v>
      </c>
      <c r="B84" s="33" t="s">
        <v>20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9"/>
      <c r="AF84" s="6"/>
      <c r="AG84" s="6"/>
      <c r="AH84" s="6"/>
      <c r="AI84" s="6"/>
      <c r="AJ84" s="6"/>
      <c r="AK84" s="6"/>
      <c r="AL84" s="6"/>
      <c r="AM84" s="6"/>
      <c r="AN84" s="30">
        <v>21</v>
      </c>
      <c r="AO84" s="30">
        <v>52.13</v>
      </c>
      <c r="AP84" s="30">
        <v>0</v>
      </c>
      <c r="AQ84" s="30">
        <v>0</v>
      </c>
    </row>
    <row r="85" spans="1:43">
      <c r="A85" s="37" t="s">
        <v>21</v>
      </c>
      <c r="B85" s="1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19"/>
      <c r="AF85" s="6"/>
      <c r="AG85" s="6"/>
      <c r="AH85" s="6"/>
      <c r="AI85" s="6"/>
      <c r="AJ85" s="6"/>
      <c r="AK85" s="6"/>
      <c r="AL85" s="6"/>
      <c r="AM85" s="6"/>
      <c r="AN85" s="6">
        <v>0</v>
      </c>
      <c r="AO85" s="6">
        <v>0</v>
      </c>
      <c r="AP85" s="6">
        <v>0</v>
      </c>
      <c r="AQ85" s="6">
        <v>0</v>
      </c>
    </row>
    <row r="86" spans="1:43">
      <c r="A86" s="37" t="s">
        <v>43</v>
      </c>
      <c r="B86" s="1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>
        <v>1</v>
      </c>
      <c r="AD86" s="6"/>
      <c r="AE86" s="19"/>
      <c r="AF86" s="6"/>
      <c r="AG86" s="6"/>
      <c r="AH86" s="6"/>
      <c r="AI86" s="6"/>
      <c r="AJ86" s="6"/>
      <c r="AK86" s="6"/>
      <c r="AL86" s="6"/>
      <c r="AM86" s="6"/>
      <c r="AN86" s="6">
        <v>1</v>
      </c>
      <c r="AO86" s="6">
        <v>1.81</v>
      </c>
      <c r="AP86" s="6">
        <v>0</v>
      </c>
      <c r="AQ86" s="6">
        <v>0</v>
      </c>
    </row>
    <row r="87" spans="1:43">
      <c r="A87" s="37" t="s">
        <v>22</v>
      </c>
      <c r="B87" s="1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>
        <v>1</v>
      </c>
      <c r="AD87" s="6"/>
      <c r="AE87" s="19"/>
      <c r="AF87" s="6"/>
      <c r="AG87" s="6"/>
      <c r="AH87" s="6"/>
      <c r="AI87" s="6"/>
      <c r="AJ87" s="6"/>
      <c r="AK87" s="6"/>
      <c r="AL87" s="6"/>
      <c r="AM87" s="6"/>
      <c r="AN87" s="6">
        <v>1</v>
      </c>
      <c r="AO87" s="6">
        <v>2.57</v>
      </c>
      <c r="AP87" s="6">
        <v>0</v>
      </c>
      <c r="AQ87" s="6">
        <v>0</v>
      </c>
    </row>
    <row r="88" spans="1:43">
      <c r="A88" s="37" t="s">
        <v>44</v>
      </c>
      <c r="B88" s="1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>
        <v>1</v>
      </c>
      <c r="AD88" s="6"/>
      <c r="AE88" s="19"/>
      <c r="AF88" s="6"/>
      <c r="AG88" s="6"/>
      <c r="AH88" s="6"/>
      <c r="AI88" s="6"/>
      <c r="AJ88" s="6"/>
      <c r="AK88" s="6"/>
      <c r="AL88" s="6"/>
      <c r="AM88" s="6"/>
      <c r="AN88" s="6">
        <v>1</v>
      </c>
      <c r="AO88" s="6">
        <v>5.15</v>
      </c>
      <c r="AP88" s="6">
        <v>0</v>
      </c>
      <c r="AQ88" s="6">
        <v>0</v>
      </c>
    </row>
    <row r="89" spans="1:43">
      <c r="A89" s="37" t="s">
        <v>36</v>
      </c>
      <c r="B89" s="1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19"/>
      <c r="AF89" s="6"/>
      <c r="AG89" s="6"/>
      <c r="AH89" s="6"/>
      <c r="AI89" s="6"/>
      <c r="AJ89" s="6"/>
      <c r="AK89" s="6"/>
      <c r="AL89" s="6"/>
      <c r="AM89" s="6"/>
      <c r="AN89" s="6">
        <v>0</v>
      </c>
      <c r="AO89" s="6">
        <v>0</v>
      </c>
      <c r="AP89" s="6">
        <v>0</v>
      </c>
      <c r="AQ89" s="6">
        <v>0</v>
      </c>
    </row>
    <row r="90" spans="1:43">
      <c r="A90" s="37" t="s">
        <v>37</v>
      </c>
      <c r="B90" s="1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>
        <v>1</v>
      </c>
      <c r="AD90" s="6"/>
      <c r="AE90" s="19"/>
      <c r="AF90" s="6"/>
      <c r="AG90" s="6"/>
      <c r="AH90" s="6"/>
      <c r="AI90" s="6"/>
      <c r="AJ90" s="6"/>
      <c r="AK90" s="6"/>
      <c r="AL90" s="6"/>
      <c r="AM90" s="6"/>
      <c r="AN90" s="6">
        <v>1</v>
      </c>
      <c r="AO90" s="6">
        <v>2.46</v>
      </c>
      <c r="AP90" s="6">
        <v>0</v>
      </c>
      <c r="AQ90" s="6">
        <v>0</v>
      </c>
    </row>
    <row r="91" spans="1:43">
      <c r="A91" s="37" t="s">
        <v>23</v>
      </c>
      <c r="B91" s="1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>
        <v>1</v>
      </c>
      <c r="AD91" s="6"/>
      <c r="AE91" s="19"/>
      <c r="AF91" s="6"/>
      <c r="AG91" s="6"/>
      <c r="AH91" s="6"/>
      <c r="AI91" s="6"/>
      <c r="AJ91" s="6"/>
      <c r="AK91" s="6"/>
      <c r="AL91" s="6"/>
      <c r="AM91" s="6"/>
      <c r="AN91" s="6">
        <v>1</v>
      </c>
      <c r="AO91" s="6">
        <v>2.4700000000000002</v>
      </c>
      <c r="AP91" s="6">
        <v>0</v>
      </c>
      <c r="AQ91" s="6">
        <v>0</v>
      </c>
    </row>
    <row r="92" spans="1:43">
      <c r="A92" s="37" t="s">
        <v>38</v>
      </c>
      <c r="B92" s="1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19"/>
      <c r="AF92" s="6"/>
      <c r="AG92" s="6"/>
      <c r="AH92" s="6"/>
      <c r="AI92" s="6"/>
      <c r="AJ92" s="6"/>
      <c r="AK92" s="6"/>
      <c r="AL92" s="6"/>
      <c r="AM92" s="6"/>
      <c r="AN92" s="6">
        <v>0</v>
      </c>
      <c r="AO92" s="6">
        <v>0</v>
      </c>
      <c r="AP92" s="6">
        <v>0</v>
      </c>
      <c r="AQ92" s="6">
        <v>0</v>
      </c>
    </row>
    <row r="93" spans="1:43">
      <c r="A93" s="37" t="s">
        <v>45</v>
      </c>
      <c r="B93" s="1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>
        <v>1</v>
      </c>
      <c r="AD93" s="6"/>
      <c r="AE93" s="19"/>
      <c r="AF93" s="6"/>
      <c r="AG93" s="6"/>
      <c r="AH93" s="6"/>
      <c r="AI93" s="6"/>
      <c r="AJ93" s="6"/>
      <c r="AK93" s="6"/>
      <c r="AL93" s="6"/>
      <c r="AM93" s="6"/>
      <c r="AN93" s="6">
        <v>1</v>
      </c>
      <c r="AO93" s="6">
        <v>1.73</v>
      </c>
      <c r="AP93" s="6">
        <v>0</v>
      </c>
      <c r="AQ93" s="6">
        <v>0</v>
      </c>
    </row>
    <row r="94" spans="1:43">
      <c r="A94" s="37" t="s">
        <v>46</v>
      </c>
      <c r="B94" s="1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>
        <v>1</v>
      </c>
      <c r="AD94" s="6"/>
      <c r="AE94" s="19"/>
      <c r="AF94" s="6"/>
      <c r="AG94" s="6"/>
      <c r="AH94" s="6"/>
      <c r="AI94" s="6"/>
      <c r="AJ94" s="6"/>
      <c r="AK94" s="6"/>
      <c r="AL94" s="6"/>
      <c r="AM94" s="6"/>
      <c r="AN94" s="6">
        <v>1</v>
      </c>
      <c r="AO94" s="6">
        <v>3.43</v>
      </c>
      <c r="AP94" s="6">
        <v>0</v>
      </c>
      <c r="AQ94" s="6">
        <v>0</v>
      </c>
    </row>
    <row r="95" spans="1:43">
      <c r="A95" s="37" t="s">
        <v>24</v>
      </c>
      <c r="B95" s="1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19"/>
      <c r="AF95" s="6"/>
      <c r="AG95" s="6"/>
      <c r="AH95" s="6"/>
      <c r="AI95" s="6"/>
      <c r="AJ95" s="6"/>
      <c r="AK95" s="6"/>
      <c r="AL95" s="6"/>
      <c r="AM95" s="6"/>
      <c r="AN95" s="6">
        <v>1</v>
      </c>
      <c r="AO95" s="6">
        <v>1.73</v>
      </c>
      <c r="AP95" s="6">
        <v>0</v>
      </c>
      <c r="AQ95" s="6">
        <v>0</v>
      </c>
    </row>
    <row r="96" spans="1:43">
      <c r="A96" s="37" t="s">
        <v>47</v>
      </c>
      <c r="B96" s="1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19"/>
      <c r="AF96" s="6"/>
      <c r="AG96" s="6"/>
      <c r="AH96" s="6"/>
      <c r="AI96" s="6"/>
      <c r="AJ96" s="6"/>
      <c r="AK96" s="6"/>
      <c r="AL96" s="6"/>
      <c r="AM96" s="6"/>
      <c r="AN96" s="6">
        <v>1</v>
      </c>
      <c r="AO96" s="6">
        <v>1.78</v>
      </c>
      <c r="AP96" s="6">
        <v>0</v>
      </c>
      <c r="AQ96" s="6">
        <v>0</v>
      </c>
    </row>
    <row r="97" spans="1:43">
      <c r="A97" s="37" t="s">
        <v>40</v>
      </c>
      <c r="B97" s="1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19"/>
      <c r="AF97" s="6"/>
      <c r="AG97" s="6"/>
      <c r="AH97" s="6"/>
      <c r="AI97" s="6"/>
      <c r="AJ97" s="6"/>
      <c r="AK97" s="6"/>
      <c r="AL97" s="6"/>
      <c r="AM97" s="6"/>
      <c r="AN97" s="6">
        <v>1</v>
      </c>
      <c r="AO97" s="6">
        <v>1.76</v>
      </c>
      <c r="AP97" s="6">
        <v>0</v>
      </c>
      <c r="AQ97" s="6">
        <v>0</v>
      </c>
    </row>
    <row r="98" spans="1:43">
      <c r="A98" s="37" t="s">
        <v>48</v>
      </c>
      <c r="B98" s="1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19"/>
      <c r="AF98" s="6"/>
      <c r="AG98" s="6"/>
      <c r="AH98" s="6"/>
      <c r="AI98" s="6"/>
      <c r="AJ98" s="6"/>
      <c r="AK98" s="6"/>
      <c r="AL98" s="6"/>
      <c r="AM98" s="6"/>
      <c r="AN98" s="6">
        <v>1</v>
      </c>
      <c r="AO98" s="6">
        <v>1.64</v>
      </c>
      <c r="AP98" s="6">
        <v>0</v>
      </c>
      <c r="AQ98" s="6">
        <v>0</v>
      </c>
    </row>
    <row r="99" spans="1:43">
      <c r="A99" s="37" t="s">
        <v>41</v>
      </c>
      <c r="B99" s="1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19"/>
      <c r="AF99" s="6"/>
      <c r="AG99" s="6"/>
      <c r="AH99" s="6"/>
      <c r="AI99" s="6"/>
      <c r="AJ99" s="6"/>
      <c r="AK99" s="6"/>
      <c r="AL99" s="6"/>
      <c r="AM99" s="6"/>
      <c r="AN99" s="6">
        <v>0</v>
      </c>
      <c r="AO99" s="6">
        <v>0</v>
      </c>
      <c r="AP99" s="6">
        <v>0</v>
      </c>
      <c r="AQ99" s="6">
        <v>0</v>
      </c>
    </row>
    <row r="100" spans="1:43">
      <c r="A100" s="37" t="s">
        <v>49</v>
      </c>
      <c r="B100" s="1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19"/>
      <c r="AF100" s="6"/>
      <c r="AG100" s="6"/>
      <c r="AH100" s="6"/>
      <c r="AI100" s="6"/>
      <c r="AJ100" s="6"/>
      <c r="AK100" s="6"/>
      <c r="AL100" s="6"/>
      <c r="AM100" s="6"/>
      <c r="AN100" s="6">
        <v>0</v>
      </c>
      <c r="AO100" s="6">
        <v>0</v>
      </c>
      <c r="AP100" s="6">
        <v>0</v>
      </c>
      <c r="AQ100" s="6">
        <v>0</v>
      </c>
    </row>
    <row r="101" spans="1:43">
      <c r="A101" s="37" t="s">
        <v>50</v>
      </c>
      <c r="B101" s="1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19"/>
      <c r="AF101" s="6"/>
      <c r="AG101" s="6"/>
      <c r="AH101" s="6"/>
      <c r="AI101" s="6"/>
      <c r="AJ101" s="6"/>
      <c r="AK101" s="6"/>
      <c r="AL101" s="6"/>
      <c r="AM101" s="6"/>
      <c r="AN101" s="6">
        <v>1</v>
      </c>
      <c r="AO101" s="6">
        <v>0.86</v>
      </c>
      <c r="AP101" s="6">
        <v>0</v>
      </c>
      <c r="AQ101" s="6">
        <v>0</v>
      </c>
    </row>
    <row r="102" spans="1:43">
      <c r="A102" s="37" t="s">
        <v>25</v>
      </c>
      <c r="B102" s="1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19"/>
      <c r="AF102" s="6"/>
      <c r="AG102" s="6"/>
      <c r="AH102" s="6"/>
      <c r="AI102" s="6"/>
      <c r="AJ102" s="6"/>
      <c r="AK102" s="6"/>
      <c r="AL102" s="6"/>
      <c r="AM102" s="6"/>
      <c r="AN102" s="6">
        <v>1</v>
      </c>
      <c r="AO102" s="6">
        <v>0.86</v>
      </c>
      <c r="AP102" s="6">
        <v>0</v>
      </c>
      <c r="AQ102" s="6">
        <v>0</v>
      </c>
    </row>
    <row r="103" spans="1:43">
      <c r="A103" s="37" t="s">
        <v>51</v>
      </c>
      <c r="B103" s="1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19"/>
      <c r="AF103" s="6"/>
      <c r="AG103" s="6"/>
      <c r="AH103" s="6"/>
      <c r="AI103" s="6"/>
      <c r="AJ103" s="6"/>
      <c r="AK103" s="6"/>
      <c r="AL103" s="6"/>
      <c r="AM103" s="6"/>
      <c r="AN103" s="6">
        <v>0</v>
      </c>
      <c r="AO103" s="6">
        <v>0</v>
      </c>
      <c r="AP103" s="6">
        <v>0</v>
      </c>
      <c r="AQ103" s="6">
        <v>0</v>
      </c>
    </row>
    <row r="104" spans="1:43">
      <c r="A104" s="37" t="s">
        <v>52</v>
      </c>
      <c r="B104" s="1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19"/>
      <c r="AF104" s="6"/>
      <c r="AG104" s="6"/>
      <c r="AH104" s="6"/>
      <c r="AI104" s="6"/>
      <c r="AJ104" s="6"/>
      <c r="AK104" s="6"/>
      <c r="AL104" s="6"/>
      <c r="AM104" s="6"/>
      <c r="AN104" s="6">
        <v>1</v>
      </c>
      <c r="AO104" s="6">
        <v>8.58</v>
      </c>
      <c r="AP104" s="6">
        <v>0</v>
      </c>
      <c r="AQ104" s="6">
        <v>0</v>
      </c>
    </row>
    <row r="105" spans="1:43">
      <c r="A105" s="37" t="s">
        <v>18</v>
      </c>
      <c r="B105" s="1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19"/>
      <c r="AF105" s="6"/>
      <c r="AG105" s="6"/>
      <c r="AH105" s="6"/>
      <c r="AI105" s="6"/>
      <c r="AJ105" s="6"/>
      <c r="AK105" s="6"/>
      <c r="AL105" s="6"/>
      <c r="AM105" s="6"/>
      <c r="AN105" s="6">
        <v>0</v>
      </c>
      <c r="AO105" s="6">
        <v>0</v>
      </c>
      <c r="AP105" s="6">
        <v>0</v>
      </c>
      <c r="AQ105" s="6">
        <v>0</v>
      </c>
    </row>
    <row r="106" spans="1:43">
      <c r="A106" s="37" t="s">
        <v>53</v>
      </c>
      <c r="B106" s="1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19"/>
      <c r="AF106" s="6"/>
      <c r="AG106" s="6"/>
      <c r="AH106" s="6"/>
      <c r="AI106" s="6"/>
      <c r="AJ106" s="6"/>
      <c r="AK106" s="6"/>
      <c r="AL106" s="6"/>
      <c r="AM106" s="6"/>
      <c r="AN106" s="6">
        <v>0</v>
      </c>
      <c r="AO106" s="6">
        <v>0</v>
      </c>
      <c r="AP106" s="6">
        <v>0</v>
      </c>
      <c r="AQ106" s="6">
        <v>0</v>
      </c>
    </row>
    <row r="107" spans="1:43">
      <c r="A107" s="37" t="s">
        <v>54</v>
      </c>
      <c r="B107" s="1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>
        <v>1</v>
      </c>
      <c r="AD107" s="6"/>
      <c r="AE107" s="19"/>
      <c r="AF107" s="6"/>
      <c r="AG107" s="6"/>
      <c r="AH107" s="6"/>
      <c r="AI107" s="6"/>
      <c r="AJ107" s="6"/>
      <c r="AK107" s="6"/>
      <c r="AL107" s="6"/>
      <c r="AM107" s="6"/>
      <c r="AN107" s="6">
        <v>1</v>
      </c>
      <c r="AO107" s="6">
        <v>2.98</v>
      </c>
      <c r="AP107" s="6">
        <v>0</v>
      </c>
      <c r="AQ107" s="6">
        <v>0</v>
      </c>
    </row>
    <row r="108" spans="1:43">
      <c r="A108" s="37" t="s">
        <v>55</v>
      </c>
      <c r="B108" s="1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>
        <v>1</v>
      </c>
      <c r="AD108" s="6"/>
      <c r="AE108" s="19"/>
      <c r="AF108" s="6"/>
      <c r="AG108" s="6"/>
      <c r="AH108" s="6"/>
      <c r="AI108" s="6"/>
      <c r="AJ108" s="6"/>
      <c r="AK108" s="6"/>
      <c r="AL108" s="6"/>
      <c r="AM108" s="6"/>
      <c r="AN108" s="6">
        <v>1</v>
      </c>
      <c r="AO108" s="6">
        <v>3.19</v>
      </c>
      <c r="AP108" s="6">
        <v>0</v>
      </c>
      <c r="AQ108" s="6">
        <v>0</v>
      </c>
    </row>
    <row r="109" spans="1:43">
      <c r="A109" s="37" t="s">
        <v>56</v>
      </c>
      <c r="B109" s="1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19"/>
      <c r="AF109" s="6"/>
      <c r="AG109" s="6"/>
      <c r="AH109" s="6"/>
      <c r="AI109" s="6"/>
      <c r="AJ109" s="6"/>
      <c r="AK109" s="6"/>
      <c r="AL109" s="6"/>
      <c r="AM109" s="6"/>
      <c r="AN109" s="6">
        <v>1</v>
      </c>
      <c r="AO109" s="6">
        <v>3.12</v>
      </c>
      <c r="AP109" s="6">
        <v>0</v>
      </c>
      <c r="AQ109" s="6">
        <v>0</v>
      </c>
    </row>
    <row r="110" spans="1:43">
      <c r="A110" s="37" t="s">
        <v>26</v>
      </c>
      <c r="B110" s="1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19"/>
      <c r="AF110" s="6"/>
      <c r="AG110" s="6"/>
      <c r="AH110" s="6"/>
      <c r="AI110" s="6"/>
      <c r="AJ110" s="6"/>
      <c r="AK110" s="6"/>
      <c r="AL110" s="6"/>
      <c r="AM110" s="6"/>
      <c r="AN110" s="6">
        <v>1</v>
      </c>
      <c r="AO110" s="6">
        <v>3.43</v>
      </c>
      <c r="AP110" s="6">
        <v>0</v>
      </c>
      <c r="AQ110" s="6">
        <v>0</v>
      </c>
    </row>
    <row r="111" spans="1:43">
      <c r="A111" s="37" t="s">
        <v>27</v>
      </c>
      <c r="B111" s="1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19"/>
      <c r="AF111" s="6"/>
      <c r="AG111" s="6"/>
      <c r="AH111" s="6"/>
      <c r="AI111" s="6"/>
      <c r="AJ111" s="6"/>
      <c r="AK111" s="6"/>
      <c r="AL111" s="6"/>
      <c r="AM111" s="6"/>
      <c r="AN111" s="6">
        <v>1</v>
      </c>
      <c r="AO111" s="6">
        <v>0.86</v>
      </c>
      <c r="AP111" s="6">
        <v>0</v>
      </c>
      <c r="AQ111" s="6">
        <v>0</v>
      </c>
    </row>
    <row r="112" spans="1:43">
      <c r="A112" s="37" t="s">
        <v>57</v>
      </c>
      <c r="B112" s="14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19"/>
      <c r="AF112" s="6"/>
      <c r="AG112" s="6"/>
      <c r="AH112" s="6"/>
      <c r="AI112" s="6"/>
      <c r="AJ112" s="6"/>
      <c r="AK112" s="6"/>
      <c r="AL112" s="6"/>
      <c r="AM112" s="6"/>
      <c r="AN112" s="6">
        <v>1</v>
      </c>
      <c r="AO112" s="6">
        <v>0.86</v>
      </c>
      <c r="AP112" s="6">
        <v>0</v>
      </c>
      <c r="AQ112" s="6">
        <v>0</v>
      </c>
    </row>
    <row r="113" spans="1:43">
      <c r="A113" s="37" t="s">
        <v>29</v>
      </c>
      <c r="B113" s="1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19"/>
      <c r="AF113" s="6"/>
      <c r="AG113" s="6"/>
      <c r="AH113" s="6"/>
      <c r="AI113" s="6"/>
      <c r="AJ113" s="6"/>
      <c r="AK113" s="6"/>
      <c r="AL113" s="6"/>
      <c r="AM113" s="6"/>
      <c r="AN113" s="6">
        <v>1</v>
      </c>
      <c r="AO113" s="6">
        <v>0.86</v>
      </c>
      <c r="AP113" s="6">
        <v>0</v>
      </c>
      <c r="AQ113" s="6">
        <v>0</v>
      </c>
    </row>
    <row r="114" spans="1:43" ht="26.25" customHeight="1">
      <c r="A114" s="51" t="s">
        <v>59</v>
      </c>
      <c r="B114" s="52" t="s">
        <v>20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19"/>
      <c r="AF114" s="6"/>
      <c r="AG114" s="6"/>
      <c r="AH114" s="6"/>
      <c r="AI114" s="6"/>
      <c r="AJ114" s="6"/>
      <c r="AK114" s="6"/>
      <c r="AL114" s="6"/>
      <c r="AM114" s="6"/>
      <c r="AN114" s="30">
        <v>21</v>
      </c>
      <c r="AO114" s="30">
        <v>176.15</v>
      </c>
      <c r="AP114" s="30">
        <v>0</v>
      </c>
      <c r="AQ114" s="30">
        <v>0</v>
      </c>
    </row>
    <row r="115" spans="1:43">
      <c r="A115" s="37" t="s">
        <v>43</v>
      </c>
      <c r="B115" s="1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19"/>
      <c r="AF115" s="6"/>
      <c r="AG115" s="6"/>
      <c r="AH115" s="6"/>
      <c r="AI115" s="6"/>
      <c r="AJ115" s="6"/>
      <c r="AK115" s="6"/>
      <c r="AL115" s="6"/>
      <c r="AM115" s="6"/>
      <c r="AN115" s="6">
        <v>1</v>
      </c>
      <c r="AO115" s="6">
        <v>5.97</v>
      </c>
      <c r="AP115" s="6">
        <v>0</v>
      </c>
      <c r="AQ115" s="6">
        <v>0</v>
      </c>
    </row>
    <row r="116" spans="1:43">
      <c r="A116" s="37" t="s">
        <v>22</v>
      </c>
      <c r="B116" s="14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19"/>
      <c r="AF116" s="6"/>
      <c r="AG116" s="6"/>
      <c r="AH116" s="6"/>
      <c r="AI116" s="6"/>
      <c r="AJ116" s="6"/>
      <c r="AK116" s="6"/>
      <c r="AL116" s="6"/>
      <c r="AM116" s="6"/>
      <c r="AN116" s="6">
        <v>1</v>
      </c>
      <c r="AO116" s="6">
        <v>8.9499999999999993</v>
      </c>
      <c r="AP116" s="6">
        <v>0</v>
      </c>
      <c r="AQ116" s="6">
        <v>0</v>
      </c>
    </row>
    <row r="117" spans="1:43">
      <c r="A117" s="37" t="s">
        <v>44</v>
      </c>
      <c r="B117" s="1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19"/>
      <c r="AF117" s="6"/>
      <c r="AG117" s="6"/>
      <c r="AH117" s="6"/>
      <c r="AI117" s="6"/>
      <c r="AJ117" s="6"/>
      <c r="AK117" s="6"/>
      <c r="AL117" s="6"/>
      <c r="AM117" s="6"/>
      <c r="AN117" s="6">
        <v>1</v>
      </c>
      <c r="AO117" s="6">
        <v>17.899999999999999</v>
      </c>
      <c r="AP117" s="6">
        <v>0</v>
      </c>
      <c r="AQ117" s="6">
        <v>0</v>
      </c>
    </row>
    <row r="118" spans="1:43">
      <c r="A118" s="37" t="s">
        <v>37</v>
      </c>
      <c r="B118" s="1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19"/>
      <c r="AF118" s="6"/>
      <c r="AG118" s="6"/>
      <c r="AH118" s="6"/>
      <c r="AI118" s="6"/>
      <c r="AJ118" s="6"/>
      <c r="AK118" s="6"/>
      <c r="AL118" s="6"/>
      <c r="AM118" s="6"/>
      <c r="AN118" s="6">
        <v>1</v>
      </c>
      <c r="AO118" s="6">
        <v>8.9499999999999993</v>
      </c>
      <c r="AP118" s="6">
        <v>0</v>
      </c>
      <c r="AQ118" s="6">
        <v>0</v>
      </c>
    </row>
    <row r="119" spans="1:43">
      <c r="A119" s="37" t="s">
        <v>23</v>
      </c>
      <c r="B119" s="14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19"/>
      <c r="AF119" s="6"/>
      <c r="AG119" s="6"/>
      <c r="AH119" s="6"/>
      <c r="AI119" s="6"/>
      <c r="AJ119" s="6"/>
      <c r="AK119" s="6"/>
      <c r="AL119" s="6"/>
      <c r="AM119" s="6"/>
      <c r="AN119" s="6">
        <v>1</v>
      </c>
      <c r="AO119" s="6">
        <v>8.9499999999999993</v>
      </c>
      <c r="AP119" s="6">
        <v>0</v>
      </c>
      <c r="AQ119" s="6">
        <v>0</v>
      </c>
    </row>
    <row r="120" spans="1:43">
      <c r="A120" s="37" t="s">
        <v>45</v>
      </c>
      <c r="B120" s="1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19"/>
      <c r="AF120" s="6"/>
      <c r="AG120" s="6"/>
      <c r="AH120" s="6"/>
      <c r="AI120" s="6"/>
      <c r="AJ120" s="6"/>
      <c r="AK120" s="6"/>
      <c r="AL120" s="6"/>
      <c r="AM120" s="6"/>
      <c r="AN120" s="6">
        <v>1</v>
      </c>
      <c r="AO120" s="6">
        <v>5.97</v>
      </c>
      <c r="AP120" s="6">
        <v>0</v>
      </c>
      <c r="AQ120" s="6">
        <v>0</v>
      </c>
    </row>
    <row r="121" spans="1:43">
      <c r="A121" s="37" t="s">
        <v>46</v>
      </c>
      <c r="B121" s="1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19"/>
      <c r="AF121" s="6"/>
      <c r="AG121" s="6"/>
      <c r="AH121" s="6"/>
      <c r="AI121" s="6"/>
      <c r="AJ121" s="6"/>
      <c r="AK121" s="6"/>
      <c r="AL121" s="6"/>
      <c r="AM121" s="6"/>
      <c r="AN121" s="6">
        <v>1</v>
      </c>
      <c r="AO121" s="6">
        <v>11.94</v>
      </c>
      <c r="AP121" s="6">
        <v>0</v>
      </c>
      <c r="AQ121" s="6">
        <v>0</v>
      </c>
    </row>
    <row r="122" spans="1:43">
      <c r="A122" s="37" t="s">
        <v>24</v>
      </c>
      <c r="B122" s="1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9"/>
      <c r="AF122" s="6"/>
      <c r="AG122" s="6"/>
      <c r="AH122" s="6"/>
      <c r="AI122" s="6"/>
      <c r="AJ122" s="6"/>
      <c r="AK122" s="6"/>
      <c r="AL122" s="6"/>
      <c r="AM122" s="6"/>
      <c r="AN122" s="6">
        <v>1</v>
      </c>
      <c r="AO122" s="6">
        <v>5.97</v>
      </c>
      <c r="AP122" s="6">
        <v>0</v>
      </c>
      <c r="AQ122" s="6">
        <v>0</v>
      </c>
    </row>
    <row r="123" spans="1:43">
      <c r="A123" s="37" t="s">
        <v>47</v>
      </c>
      <c r="B123" s="1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19"/>
      <c r="AF123" s="6"/>
      <c r="AG123" s="6"/>
      <c r="AH123" s="6"/>
      <c r="AI123" s="6"/>
      <c r="AJ123" s="6"/>
      <c r="AK123" s="6"/>
      <c r="AL123" s="6"/>
      <c r="AM123" s="6"/>
      <c r="AN123" s="6">
        <v>1</v>
      </c>
      <c r="AO123" s="6">
        <v>5.97</v>
      </c>
      <c r="AP123" s="6">
        <v>0</v>
      </c>
      <c r="AQ123" s="6">
        <v>0</v>
      </c>
    </row>
    <row r="124" spans="1:43">
      <c r="A124" s="37" t="s">
        <v>40</v>
      </c>
      <c r="B124" s="14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19"/>
      <c r="AF124" s="6"/>
      <c r="AG124" s="6"/>
      <c r="AH124" s="6"/>
      <c r="AI124" s="6"/>
      <c r="AJ124" s="6"/>
      <c r="AK124" s="6"/>
      <c r="AL124" s="6"/>
      <c r="AM124" s="6"/>
      <c r="AN124" s="6">
        <v>1</v>
      </c>
      <c r="AO124" s="6">
        <v>5.97</v>
      </c>
      <c r="AP124" s="6">
        <v>0</v>
      </c>
      <c r="AQ124" s="6">
        <v>0</v>
      </c>
    </row>
    <row r="125" spans="1:43">
      <c r="A125" s="37" t="s">
        <v>48</v>
      </c>
      <c r="B125" s="14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19"/>
      <c r="AF125" s="6"/>
      <c r="AG125" s="6"/>
      <c r="AH125" s="6"/>
      <c r="AI125" s="6"/>
      <c r="AJ125" s="6"/>
      <c r="AK125" s="6"/>
      <c r="AL125" s="6"/>
      <c r="AM125" s="6"/>
      <c r="AN125" s="6">
        <v>1</v>
      </c>
      <c r="AO125" s="6">
        <v>5.97</v>
      </c>
      <c r="AP125" s="6">
        <v>0</v>
      </c>
      <c r="AQ125" s="6">
        <v>0</v>
      </c>
    </row>
    <row r="126" spans="1:43">
      <c r="A126" s="37" t="s">
        <v>50</v>
      </c>
      <c r="B126" s="1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19"/>
      <c r="AF126" s="6"/>
      <c r="AG126" s="6"/>
      <c r="AH126" s="6"/>
      <c r="AI126" s="6"/>
      <c r="AJ126" s="6"/>
      <c r="AK126" s="6"/>
      <c r="AL126" s="6"/>
      <c r="AM126" s="6"/>
      <c r="AN126" s="6">
        <v>1</v>
      </c>
      <c r="AO126" s="22">
        <v>3</v>
      </c>
      <c r="AP126" s="6">
        <v>0</v>
      </c>
      <c r="AQ126" s="6">
        <v>0</v>
      </c>
    </row>
    <row r="127" spans="1:43">
      <c r="A127" s="37" t="s">
        <v>25</v>
      </c>
      <c r="B127" s="14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19"/>
      <c r="AF127" s="6"/>
      <c r="AG127" s="6"/>
      <c r="AH127" s="6"/>
      <c r="AI127" s="6"/>
      <c r="AJ127" s="6"/>
      <c r="AK127" s="6"/>
      <c r="AL127" s="6"/>
      <c r="AM127" s="6"/>
      <c r="AN127" s="6">
        <v>1</v>
      </c>
      <c r="AO127" s="22">
        <v>3</v>
      </c>
      <c r="AP127" s="6">
        <v>0</v>
      </c>
      <c r="AQ127" s="6">
        <v>0</v>
      </c>
    </row>
    <row r="128" spans="1:43">
      <c r="A128" s="37" t="s">
        <v>52</v>
      </c>
      <c r="B128" s="14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19"/>
      <c r="AF128" s="6"/>
      <c r="AG128" s="6"/>
      <c r="AH128" s="6"/>
      <c r="AI128" s="6"/>
      <c r="AJ128" s="6"/>
      <c r="AK128" s="6"/>
      <c r="AL128" s="6"/>
      <c r="AM128" s="6"/>
      <c r="AN128" s="6">
        <v>1</v>
      </c>
      <c r="AO128" s="6">
        <v>29.85</v>
      </c>
      <c r="AP128" s="6">
        <v>0</v>
      </c>
      <c r="AQ128" s="6">
        <v>0</v>
      </c>
    </row>
    <row r="129" spans="1:43">
      <c r="A129" s="37" t="s">
        <v>54</v>
      </c>
      <c r="B129" s="14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19"/>
      <c r="AF129" s="6"/>
      <c r="AG129" s="6"/>
      <c r="AH129" s="6"/>
      <c r="AI129" s="6"/>
      <c r="AJ129" s="6"/>
      <c r="AK129" s="6"/>
      <c r="AL129" s="6"/>
      <c r="AM129" s="6"/>
      <c r="AN129" s="6">
        <v>1</v>
      </c>
      <c r="AO129" s="6">
        <v>8.9499999999999993</v>
      </c>
      <c r="AP129" s="6">
        <v>0</v>
      </c>
      <c r="AQ129" s="6">
        <v>0</v>
      </c>
    </row>
    <row r="130" spans="1:43">
      <c r="A130" s="37" t="s">
        <v>55</v>
      </c>
      <c r="B130" s="14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19"/>
      <c r="AF130" s="6"/>
      <c r="AG130" s="6"/>
      <c r="AH130" s="6"/>
      <c r="AI130" s="6"/>
      <c r="AJ130" s="6"/>
      <c r="AK130" s="6"/>
      <c r="AL130" s="6"/>
      <c r="AM130" s="6"/>
      <c r="AN130" s="6">
        <v>1</v>
      </c>
      <c r="AO130" s="6">
        <v>8.9499999999999993</v>
      </c>
      <c r="AP130" s="6">
        <v>0</v>
      </c>
      <c r="AQ130" s="6">
        <v>0</v>
      </c>
    </row>
    <row r="131" spans="1:43">
      <c r="A131" s="37" t="s">
        <v>56</v>
      </c>
      <c r="B131" s="14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19"/>
      <c r="AF131" s="6"/>
      <c r="AG131" s="6"/>
      <c r="AH131" s="6"/>
      <c r="AI131" s="6"/>
      <c r="AJ131" s="6"/>
      <c r="AK131" s="6"/>
      <c r="AL131" s="6"/>
      <c r="AM131" s="6"/>
      <c r="AN131" s="6">
        <v>1</v>
      </c>
      <c r="AO131" s="6">
        <v>8.9499999999999993</v>
      </c>
      <c r="AP131" s="6">
        <v>0</v>
      </c>
      <c r="AQ131" s="6">
        <v>0</v>
      </c>
    </row>
    <row r="132" spans="1:43">
      <c r="A132" s="37" t="s">
        <v>26</v>
      </c>
      <c r="B132" s="14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19"/>
      <c r="AF132" s="6"/>
      <c r="AG132" s="6"/>
      <c r="AH132" s="6"/>
      <c r="AI132" s="6"/>
      <c r="AJ132" s="6"/>
      <c r="AK132" s="6"/>
      <c r="AL132" s="6"/>
      <c r="AM132" s="6"/>
      <c r="AN132" s="6">
        <v>1</v>
      </c>
      <c r="AO132" s="6">
        <v>11.94</v>
      </c>
      <c r="AP132" s="6">
        <v>0</v>
      </c>
      <c r="AQ132" s="6">
        <v>0</v>
      </c>
    </row>
    <row r="133" spans="1:43">
      <c r="A133" s="37" t="s">
        <v>27</v>
      </c>
      <c r="B133" s="14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19"/>
      <c r="AF133" s="6"/>
      <c r="AG133" s="6"/>
      <c r="AH133" s="6"/>
      <c r="AI133" s="6"/>
      <c r="AJ133" s="6"/>
      <c r="AK133" s="6"/>
      <c r="AL133" s="6"/>
      <c r="AM133" s="6"/>
      <c r="AN133" s="6">
        <v>1</v>
      </c>
      <c r="AO133" s="22">
        <v>3</v>
      </c>
      <c r="AP133" s="6">
        <v>0</v>
      </c>
      <c r="AQ133" s="6">
        <v>0</v>
      </c>
    </row>
    <row r="134" spans="1:43">
      <c r="A134" s="37" t="s">
        <v>57</v>
      </c>
      <c r="B134" s="14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19"/>
      <c r="AF134" s="6"/>
      <c r="AG134" s="6"/>
      <c r="AH134" s="6"/>
      <c r="AI134" s="6"/>
      <c r="AJ134" s="6"/>
      <c r="AK134" s="6"/>
      <c r="AL134" s="6"/>
      <c r="AM134" s="6"/>
      <c r="AN134" s="6">
        <v>1</v>
      </c>
      <c r="AO134" s="22">
        <v>3</v>
      </c>
      <c r="AP134" s="6">
        <v>0</v>
      </c>
      <c r="AQ134" s="6">
        <v>0</v>
      </c>
    </row>
    <row r="135" spans="1:43">
      <c r="A135" s="37" t="s">
        <v>29</v>
      </c>
      <c r="B135" s="14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19"/>
      <c r="AF135" s="6"/>
      <c r="AG135" s="6"/>
      <c r="AH135" s="6"/>
      <c r="AI135" s="6"/>
      <c r="AJ135" s="6"/>
      <c r="AK135" s="6"/>
      <c r="AL135" s="6"/>
      <c r="AM135" s="6"/>
      <c r="AN135" s="6">
        <v>1</v>
      </c>
      <c r="AO135" s="22">
        <v>3</v>
      </c>
      <c r="AP135" s="6">
        <v>0</v>
      </c>
      <c r="AQ135" s="6">
        <v>0</v>
      </c>
    </row>
    <row r="136" spans="1:43">
      <c r="A136" s="39" t="s">
        <v>60</v>
      </c>
      <c r="B136" s="52" t="s">
        <v>20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>
        <v>2</v>
      </c>
      <c r="R136" s="30">
        <v>700</v>
      </c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1"/>
      <c r="AF136" s="30"/>
      <c r="AG136" s="30">
        <f>SUM(AG137:AG141)</f>
        <v>131.68</v>
      </c>
      <c r="AH136" s="30">
        <f t="shared" ref="AH136:AL136" si="31">SUM(AH137:AH141)</f>
        <v>11.875</v>
      </c>
      <c r="AI136" s="30">
        <f t="shared" si="31"/>
        <v>2.399</v>
      </c>
      <c r="AJ136" s="30">
        <f t="shared" si="31"/>
        <v>9.6639999999999997</v>
      </c>
      <c r="AK136" s="30">
        <f t="shared" si="31"/>
        <v>3.2330000000000001</v>
      </c>
      <c r="AL136" s="30">
        <f t="shared" si="31"/>
        <v>158.851</v>
      </c>
      <c r="AM136" s="30"/>
      <c r="AN136" s="30">
        <v>5</v>
      </c>
      <c r="AO136" s="30">
        <v>1750</v>
      </c>
      <c r="AP136" s="30">
        <f>SUM(AP137:AP141)</f>
        <v>2</v>
      </c>
      <c r="AQ136" s="30">
        <f>SUM(AQ137:AQ141)</f>
        <v>303.53999999999996</v>
      </c>
    </row>
    <row r="137" spans="1:43">
      <c r="A137" s="37" t="s">
        <v>22</v>
      </c>
      <c r="B137" s="14"/>
      <c r="C137" s="6">
        <v>1</v>
      </c>
      <c r="D137" s="6">
        <v>350</v>
      </c>
      <c r="E137" s="6"/>
      <c r="F137" s="6"/>
      <c r="G137" s="6">
        <v>1</v>
      </c>
      <c r="H137" s="6">
        <v>350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19"/>
      <c r="AF137" s="6"/>
      <c r="AG137" s="6"/>
      <c r="AH137" s="6"/>
      <c r="AI137" s="6"/>
      <c r="AJ137" s="6"/>
      <c r="AK137" s="6"/>
      <c r="AL137" s="6"/>
      <c r="AM137" s="6"/>
      <c r="AN137" s="6">
        <v>1</v>
      </c>
      <c r="AO137" s="6">
        <v>350</v>
      </c>
      <c r="AP137" s="6">
        <v>0</v>
      </c>
      <c r="AQ137" s="6">
        <v>0</v>
      </c>
    </row>
    <row r="138" spans="1:43">
      <c r="A138" s="37" t="s">
        <v>44</v>
      </c>
      <c r="B138" s="14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19"/>
      <c r="AF138" s="6"/>
      <c r="AG138" s="6"/>
      <c r="AH138" s="6"/>
      <c r="AI138" s="6"/>
      <c r="AJ138" s="6"/>
      <c r="AK138" s="6"/>
      <c r="AL138" s="6"/>
      <c r="AM138" s="6"/>
      <c r="AN138" s="6">
        <v>1</v>
      </c>
      <c r="AO138" s="6">
        <v>350</v>
      </c>
      <c r="AP138" s="6">
        <v>0</v>
      </c>
      <c r="AQ138" s="6">
        <v>0</v>
      </c>
    </row>
    <row r="139" spans="1:43">
      <c r="A139" s="37" t="s">
        <v>37</v>
      </c>
      <c r="B139" s="1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19"/>
      <c r="AF139" s="6"/>
      <c r="AG139" s="6"/>
      <c r="AH139" s="6"/>
      <c r="AI139" s="6"/>
      <c r="AJ139" s="6"/>
      <c r="AK139" s="6"/>
      <c r="AL139" s="6"/>
      <c r="AM139" s="6"/>
      <c r="AN139" s="6">
        <v>1</v>
      </c>
      <c r="AO139" s="6">
        <v>350</v>
      </c>
      <c r="AP139" s="6">
        <v>0</v>
      </c>
      <c r="AQ139" s="6">
        <v>0</v>
      </c>
    </row>
    <row r="140" spans="1:43">
      <c r="A140" s="37" t="s">
        <v>46</v>
      </c>
      <c r="B140" s="14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>
        <v>1</v>
      </c>
      <c r="R140" s="6">
        <v>350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>
        <v>1</v>
      </c>
      <c r="AD140" s="6">
        <v>145.078</v>
      </c>
      <c r="AE140" s="19"/>
      <c r="AF140" s="6"/>
      <c r="AG140" s="6"/>
      <c r="AH140" s="6"/>
      <c r="AI140" s="6"/>
      <c r="AJ140" s="6"/>
      <c r="AK140" s="6"/>
      <c r="AL140" s="6"/>
      <c r="AM140" s="6"/>
      <c r="AN140" s="6">
        <v>1</v>
      </c>
      <c r="AO140" s="6">
        <v>350</v>
      </c>
      <c r="AP140" s="6">
        <v>1</v>
      </c>
      <c r="AQ140" s="6">
        <v>145.078</v>
      </c>
    </row>
    <row r="141" spans="1:43">
      <c r="A141" s="37" t="s">
        <v>24</v>
      </c>
      <c r="B141" s="14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>
        <v>1</v>
      </c>
      <c r="R141" s="6">
        <v>350</v>
      </c>
      <c r="S141" s="6"/>
      <c r="T141" s="6"/>
      <c r="U141" s="6"/>
      <c r="V141" s="6"/>
      <c r="W141" s="6">
        <v>1</v>
      </c>
      <c r="X141" s="6">
        <v>67.962000000000003</v>
      </c>
      <c r="Y141" s="6"/>
      <c r="Z141" s="6"/>
      <c r="AA141" s="6"/>
      <c r="AB141" s="6"/>
      <c r="AC141" s="6"/>
      <c r="AD141" s="6"/>
      <c r="AE141" s="19"/>
      <c r="AF141" s="6">
        <v>1</v>
      </c>
      <c r="AG141" s="6">
        <v>131.68</v>
      </c>
      <c r="AH141" s="6">
        <v>11.875</v>
      </c>
      <c r="AI141" s="4">
        <f t="shared" ref="AI141" si="32">ROUND((AH141)*0.202,3)</f>
        <v>2.399</v>
      </c>
      <c r="AJ141" s="21">
        <f t="shared" ref="AJ141" si="33">ROUND((AH141)*0.8138,3)</f>
        <v>9.6639999999999997</v>
      </c>
      <c r="AK141" s="6">
        <v>3.2330000000000001</v>
      </c>
      <c r="AL141" s="10">
        <f t="shared" ref="AL141" si="34">SUM(AG141:AK141)</f>
        <v>158.851</v>
      </c>
      <c r="AM141" s="6">
        <v>158.46199999999999</v>
      </c>
      <c r="AN141" s="6">
        <v>1</v>
      </c>
      <c r="AO141" s="6">
        <v>350</v>
      </c>
      <c r="AP141" s="6">
        <v>1</v>
      </c>
      <c r="AQ141" s="6">
        <f>AM141</f>
        <v>158.46199999999999</v>
      </c>
    </row>
    <row r="142" spans="1:43">
      <c r="A142" s="39" t="s">
        <v>61</v>
      </c>
      <c r="B142" s="33" t="s">
        <v>35</v>
      </c>
      <c r="C142" s="30" t="e">
        <f>SUM(#REF!)</f>
        <v>#REF!</v>
      </c>
      <c r="D142" s="30" t="e">
        <f>SUM(#REF!)</f>
        <v>#REF!</v>
      </c>
      <c r="E142" s="30" t="e">
        <f>SUM(#REF!)</f>
        <v>#REF!</v>
      </c>
      <c r="F142" s="30" t="e">
        <f>SUM(#REF!)</f>
        <v>#REF!</v>
      </c>
      <c r="G142" s="30" t="e">
        <f>SUM(#REF!)</f>
        <v>#REF!</v>
      </c>
      <c r="H142" s="30" t="e">
        <f>SUM(#REF!)</f>
        <v>#REF!</v>
      </c>
      <c r="I142" s="30" t="e">
        <f>SUM(#REF!)</f>
        <v>#REF!</v>
      </c>
      <c r="J142" s="30" t="e">
        <f>SUM(#REF!)</f>
        <v>#REF!</v>
      </c>
      <c r="K142" s="30"/>
      <c r="L142" s="30"/>
      <c r="M142" s="30"/>
      <c r="N142" s="30"/>
      <c r="O142" s="30"/>
      <c r="P142" s="30"/>
      <c r="Q142" s="30" t="e">
        <f>SUM(#REF!)</f>
        <v>#REF!</v>
      </c>
      <c r="R142" s="30" t="e">
        <f>SUM(#REF!)</f>
        <v>#REF!</v>
      </c>
      <c r="S142" s="30" t="e">
        <f>SUM(#REF!)</f>
        <v>#REF!</v>
      </c>
      <c r="T142" s="30" t="e">
        <f>SUM(#REF!)</f>
        <v>#REF!</v>
      </c>
      <c r="U142" s="30"/>
      <c r="V142" s="30"/>
      <c r="W142" s="30" t="e">
        <f>SUM(#REF!)</f>
        <v>#REF!</v>
      </c>
      <c r="X142" s="30" t="e">
        <f>SUM(#REF!)</f>
        <v>#REF!</v>
      </c>
      <c r="Y142" s="30" t="e">
        <f>SUM(#REF!)</f>
        <v>#REF!</v>
      </c>
      <c r="Z142" s="30" t="e">
        <f>SUM(#REF!)</f>
        <v>#REF!</v>
      </c>
      <c r="AA142" s="30" t="e">
        <f>SUM(#REF!)</f>
        <v>#REF!</v>
      </c>
      <c r="AB142" s="30" t="e">
        <f>SUM(#REF!)</f>
        <v>#REF!</v>
      </c>
      <c r="AC142" s="30" t="e">
        <f>SUM(#REF!)</f>
        <v>#REF!</v>
      </c>
      <c r="AD142" s="30" t="e">
        <f>SUM(#REF!)</f>
        <v>#REF!</v>
      </c>
      <c r="AE142" s="31"/>
      <c r="AF142" s="30" t="e">
        <f>SUM(#REF!)</f>
        <v>#REF!</v>
      </c>
      <c r="AG142" s="30"/>
      <c r="AH142" s="30"/>
      <c r="AI142" s="30"/>
      <c r="AJ142" s="30"/>
      <c r="AK142" s="30"/>
      <c r="AL142" s="30"/>
      <c r="AM142" s="30"/>
      <c r="AN142" s="30">
        <v>0.06</v>
      </c>
      <c r="AO142" s="49">
        <v>68</v>
      </c>
      <c r="AP142" s="30">
        <v>0</v>
      </c>
      <c r="AQ142" s="30">
        <v>0</v>
      </c>
    </row>
    <row r="143" spans="1:43" s="3" customFormat="1" ht="12">
      <c r="A143" s="37" t="s">
        <v>48</v>
      </c>
      <c r="B143" s="14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>
        <v>6.0000000000000001E-3</v>
      </c>
      <c r="AO143" s="22">
        <v>68</v>
      </c>
      <c r="AP143" s="6">
        <v>0</v>
      </c>
      <c r="AQ143" s="6">
        <v>0</v>
      </c>
    </row>
    <row r="144" spans="1:43">
      <c r="A144" s="39" t="s">
        <v>62</v>
      </c>
      <c r="B144" s="33"/>
      <c r="C144" s="30"/>
      <c r="D144" s="30"/>
      <c r="E144" s="30"/>
      <c r="F144" s="30"/>
      <c r="G144" s="30"/>
      <c r="H144" s="30"/>
      <c r="I144" s="30">
        <f t="shared" ref="I144:T144" si="35">SUM(I145:I145)</f>
        <v>2E-3</v>
      </c>
      <c r="J144" s="30">
        <f t="shared" si="35"/>
        <v>2.8559999999999999</v>
      </c>
      <c r="K144" s="30">
        <f t="shared" si="35"/>
        <v>2.0150000000000001</v>
      </c>
      <c r="L144" s="30">
        <f t="shared" si="35"/>
        <v>0.39600000000000002</v>
      </c>
      <c r="M144" s="30">
        <f t="shared" si="35"/>
        <v>0.08</v>
      </c>
      <c r="N144" s="30">
        <f t="shared" si="35"/>
        <v>0.41399999999999998</v>
      </c>
      <c r="O144" s="30">
        <f t="shared" si="35"/>
        <v>8.9999999999999993E-3</v>
      </c>
      <c r="P144" s="30">
        <f t="shared" si="35"/>
        <v>2.9140000000000001</v>
      </c>
      <c r="Q144" s="30">
        <f t="shared" si="35"/>
        <v>0</v>
      </c>
      <c r="R144" s="30">
        <f t="shared" si="35"/>
        <v>0</v>
      </c>
      <c r="S144" s="30">
        <f t="shared" si="35"/>
        <v>2E-3</v>
      </c>
      <c r="T144" s="30">
        <f t="shared" si="35"/>
        <v>2.9140000000000001</v>
      </c>
      <c r="U144" s="30"/>
      <c r="V144" s="30"/>
      <c r="W144" s="30">
        <f t="shared" ref="W144:AD144" si="36">SUM(W145:W145)</f>
        <v>0</v>
      </c>
      <c r="X144" s="30">
        <f t="shared" si="36"/>
        <v>0</v>
      </c>
      <c r="Y144" s="30">
        <f t="shared" si="36"/>
        <v>0</v>
      </c>
      <c r="Z144" s="30">
        <f t="shared" si="36"/>
        <v>0</v>
      </c>
      <c r="AA144" s="30">
        <f t="shared" si="36"/>
        <v>0</v>
      </c>
      <c r="AB144" s="30">
        <f t="shared" si="36"/>
        <v>0</v>
      </c>
      <c r="AC144" s="30">
        <f t="shared" si="36"/>
        <v>0</v>
      </c>
      <c r="AD144" s="30">
        <f t="shared" si="36"/>
        <v>0</v>
      </c>
      <c r="AE144" s="31"/>
      <c r="AF144" s="30">
        <f t="shared" ref="AF144:AL144" si="37">SUM(AF145:AF145)</f>
        <v>0</v>
      </c>
      <c r="AG144" s="30">
        <f t="shared" si="37"/>
        <v>0</v>
      </c>
      <c r="AH144" s="30">
        <f t="shared" si="37"/>
        <v>0</v>
      </c>
      <c r="AI144" s="30">
        <f t="shared" si="37"/>
        <v>0</v>
      </c>
      <c r="AJ144" s="30">
        <f t="shared" si="37"/>
        <v>0</v>
      </c>
      <c r="AK144" s="30">
        <f t="shared" si="37"/>
        <v>0</v>
      </c>
      <c r="AL144" s="30">
        <f t="shared" si="37"/>
        <v>0</v>
      </c>
      <c r="AM144" s="30"/>
      <c r="AN144" s="30">
        <f>SUM(AN145:AN145)</f>
        <v>0</v>
      </c>
      <c r="AO144" s="30">
        <f>SUM(AO145:AO145)</f>
        <v>0</v>
      </c>
      <c r="AP144" s="30">
        <f>SUM(AP145:AP145)</f>
        <v>2E-3</v>
      </c>
      <c r="AQ144" s="30">
        <f>SUM(AQ145:AQ145)</f>
        <v>2.9140000000000001</v>
      </c>
    </row>
    <row r="145" spans="1:43">
      <c r="A145" s="37" t="s">
        <v>128</v>
      </c>
      <c r="B145" s="14"/>
      <c r="C145" s="6"/>
      <c r="D145" s="6"/>
      <c r="E145" s="6"/>
      <c r="F145" s="6"/>
      <c r="G145" s="6"/>
      <c r="H145" s="6"/>
      <c r="I145" s="6">
        <v>2E-3</v>
      </c>
      <c r="J145" s="6">
        <v>2.8559999999999999</v>
      </c>
      <c r="K145" s="6">
        <v>2.0150000000000001</v>
      </c>
      <c r="L145" s="6">
        <v>0.39600000000000002</v>
      </c>
      <c r="M145" s="4">
        <f>ROUND((L145)*0.202,3)</f>
        <v>0.08</v>
      </c>
      <c r="N145" s="21">
        <f>ROUND((L145)*1.0457,3)</f>
        <v>0.41399999999999998</v>
      </c>
      <c r="O145" s="6">
        <v>8.9999999999999993E-3</v>
      </c>
      <c r="P145" s="10">
        <f>SUM(K145:O145)</f>
        <v>2.9140000000000001</v>
      </c>
      <c r="Q145" s="6"/>
      <c r="R145" s="6"/>
      <c r="S145" s="6">
        <f>I145+E145</f>
        <v>2E-3</v>
      </c>
      <c r="T145" s="10">
        <f>P145</f>
        <v>2.9140000000000001</v>
      </c>
      <c r="U145" s="6"/>
      <c r="V145" s="6"/>
      <c r="W145" s="6"/>
      <c r="X145" s="10"/>
      <c r="Y145" s="6"/>
      <c r="Z145" s="10"/>
      <c r="AA145" s="6"/>
      <c r="AB145" s="10"/>
      <c r="AC145" s="6"/>
      <c r="AD145" s="10"/>
      <c r="AE145" s="19"/>
      <c r="AF145" s="6"/>
      <c r="AG145" s="6"/>
      <c r="AH145" s="6"/>
      <c r="AI145" s="4">
        <f>ROUND((AH145)*0.202,3)</f>
        <v>0</v>
      </c>
      <c r="AJ145" s="21">
        <f>ROUND((AH145)*1.0457,3)</f>
        <v>0</v>
      </c>
      <c r="AK145" s="6"/>
      <c r="AL145" s="10">
        <f>SUM(AG145:AK145)</f>
        <v>0</v>
      </c>
      <c r="AM145" s="10"/>
      <c r="AN145" s="6">
        <v>0</v>
      </c>
      <c r="AO145" s="6">
        <v>0</v>
      </c>
      <c r="AP145" s="6">
        <f>S145</f>
        <v>2E-3</v>
      </c>
      <c r="AQ145" s="6">
        <f>T145</f>
        <v>2.9140000000000001</v>
      </c>
    </row>
    <row r="146" spans="1:43">
      <c r="A146" s="39" t="s">
        <v>63</v>
      </c>
      <c r="B146" s="33" t="s">
        <v>35</v>
      </c>
      <c r="C146" s="30">
        <v>2.5999999999999999E-2</v>
      </c>
      <c r="D146" s="30">
        <v>44.94</v>
      </c>
      <c r="E146" s="30">
        <f>SUM(E152:E164)</f>
        <v>6.4000000000000003E-3</v>
      </c>
      <c r="F146" s="30">
        <f>SUM(F152:F164)</f>
        <v>2.0110000000000001</v>
      </c>
      <c r="G146" s="30">
        <v>2.5999999999999999E-2</v>
      </c>
      <c r="H146" s="30">
        <v>44.94</v>
      </c>
      <c r="I146" s="30">
        <f t="shared" ref="I146:R146" si="38">SUM(I147:I164)</f>
        <v>9.5999999999999992E-3</v>
      </c>
      <c r="J146" s="30">
        <f t="shared" si="38"/>
        <v>4.859</v>
      </c>
      <c r="K146" s="30">
        <f t="shared" si="38"/>
        <v>8.2000000000000003E-2</v>
      </c>
      <c r="L146" s="30">
        <f t="shared" si="38"/>
        <v>2.1949999999999998</v>
      </c>
      <c r="M146" s="30">
        <f t="shared" si="38"/>
        <v>0.44400000000000001</v>
      </c>
      <c r="N146" s="30">
        <f t="shared" si="38"/>
        <v>2.2949999999999999</v>
      </c>
      <c r="O146" s="30">
        <f t="shared" si="38"/>
        <v>0.47100000000000003</v>
      </c>
      <c r="P146" s="30">
        <f t="shared" si="38"/>
        <v>5.4870000000000001</v>
      </c>
      <c r="Q146" s="30">
        <f t="shared" si="38"/>
        <v>4.2000000000000003E-2</v>
      </c>
      <c r="R146" s="30">
        <f t="shared" si="38"/>
        <v>72.59</v>
      </c>
      <c r="S146" s="30" t="e">
        <f>SUM(S147:S164)-S156-S157-#REF!</f>
        <v>#REF!</v>
      </c>
      <c r="T146" s="44" t="e">
        <f>SUM(T147:T164)-T156-T157-#REF!</f>
        <v>#REF!</v>
      </c>
      <c r="U146" s="30"/>
      <c r="V146" s="30"/>
      <c r="W146" s="30" t="e">
        <f>SUM(W147:W164)-W156-W157-#REF!</f>
        <v>#REF!</v>
      </c>
      <c r="X146" s="30" t="e">
        <f>SUM(X147:X164)-X156-X157-#REF!</f>
        <v>#REF!</v>
      </c>
      <c r="Y146" s="30" t="e">
        <f>SUM(Y147:Y164)-Y156-Y157-#REF!</f>
        <v>#REF!</v>
      </c>
      <c r="Z146" s="30" t="e">
        <f>SUM(Z147:Z164)-Z156-Z157-#REF!</f>
        <v>#REF!</v>
      </c>
      <c r="AA146" s="30" t="e">
        <f>SUM(AA147:AA164)-AA156-AA157-#REF!</f>
        <v>#REF!</v>
      </c>
      <c r="AB146" s="30" t="e">
        <f>SUM(AB147:AB164)-AB156-AB157-#REF!</f>
        <v>#REF!</v>
      </c>
      <c r="AC146" s="30" t="e">
        <f>SUM(AC147:AC164)-AC156-AC157-#REF!</f>
        <v>#REF!</v>
      </c>
      <c r="AD146" s="44" t="e">
        <f>SUM(AD147:AD164)-AD156-AD157-#REF!</f>
        <v>#REF!</v>
      </c>
      <c r="AE146" s="31"/>
      <c r="AF146" s="30" t="e">
        <f>SUM(AF147:AF164)-AF156-AF157-#REF!</f>
        <v>#REF!</v>
      </c>
      <c r="AG146" s="30">
        <f>SUM(AG147:AG164)</f>
        <v>0.73799999999999999</v>
      </c>
      <c r="AH146" s="30">
        <f t="shared" ref="AH146:AL146" si="39">SUM(AH147:AH164)</f>
        <v>1.98</v>
      </c>
      <c r="AI146" s="30">
        <f t="shared" si="39"/>
        <v>0.4</v>
      </c>
      <c r="AJ146" s="30">
        <f t="shared" si="39"/>
        <v>1.6099999999999999</v>
      </c>
      <c r="AK146" s="30">
        <f t="shared" si="39"/>
        <v>0.47799999999999998</v>
      </c>
      <c r="AL146" s="30">
        <f t="shared" si="39"/>
        <v>5.2060000000000004</v>
      </c>
      <c r="AM146" s="30"/>
      <c r="AN146" s="30">
        <v>0.122</v>
      </c>
      <c r="AO146" s="30">
        <v>210.87</v>
      </c>
      <c r="AP146" s="53">
        <v>8.5919999999999996E-2</v>
      </c>
      <c r="AQ146" s="44">
        <v>38.866</v>
      </c>
    </row>
    <row r="147" spans="1:43" s="3" customFormat="1">
      <c r="A147" s="37" t="s">
        <v>138</v>
      </c>
      <c r="B147" s="14"/>
      <c r="C147" s="6"/>
      <c r="D147" s="6"/>
      <c r="E147" s="6"/>
      <c r="F147" s="6"/>
      <c r="G147" s="6"/>
      <c r="H147" s="6"/>
      <c r="I147" s="6">
        <v>4.3E-3</v>
      </c>
      <c r="J147" s="6">
        <v>1.3260000000000001</v>
      </c>
      <c r="K147" s="6">
        <v>8.9999999999999993E-3</v>
      </c>
      <c r="L147" s="6">
        <v>0.59</v>
      </c>
      <c r="M147" s="4">
        <f>ROUND((L147)*0.202,3)</f>
        <v>0.11899999999999999</v>
      </c>
      <c r="N147" s="21">
        <f>ROUND((L147)*1.0457,3)</f>
        <v>0.61699999999999999</v>
      </c>
      <c r="O147" s="6">
        <v>0.127</v>
      </c>
      <c r="P147" s="10">
        <f>SUM(K147:O147)</f>
        <v>1.462</v>
      </c>
      <c r="Q147" s="6">
        <v>8.0000000000000002E-3</v>
      </c>
      <c r="R147" s="6">
        <v>13.83</v>
      </c>
      <c r="S147" s="6">
        <f>I147+E147</f>
        <v>4.3E-3</v>
      </c>
      <c r="T147" s="10">
        <f>P147</f>
        <v>1.462</v>
      </c>
      <c r="U147" s="6"/>
      <c r="V147" s="6"/>
      <c r="W147" s="6"/>
      <c r="X147" s="10"/>
      <c r="Y147" s="6"/>
      <c r="Z147" s="10"/>
      <c r="AA147" s="6"/>
      <c r="AB147" s="10"/>
      <c r="AC147" s="6"/>
      <c r="AD147" s="10"/>
      <c r="AE147" s="6"/>
      <c r="AF147" s="6"/>
      <c r="AG147" s="6"/>
      <c r="AH147" s="6"/>
      <c r="AI147" s="4">
        <f t="shared" ref="AI147:AI151" si="40">ROUND((AH147)*0.202,3)</f>
        <v>0</v>
      </c>
      <c r="AJ147" s="21">
        <f>ROUND((AH147)*1.0457,3)</f>
        <v>0</v>
      </c>
      <c r="AK147" s="6"/>
      <c r="AL147" s="10">
        <f t="shared" ref="AL147:AL151" si="41">SUM(AG147:AK147)</f>
        <v>0</v>
      </c>
      <c r="AM147" s="10"/>
      <c r="AN147" s="6">
        <v>8.0000000000000002E-3</v>
      </c>
      <c r="AO147" s="6">
        <v>13.83</v>
      </c>
      <c r="AP147" s="6">
        <f>S147</f>
        <v>4.3E-3</v>
      </c>
      <c r="AQ147" s="6">
        <f>T147</f>
        <v>1.462</v>
      </c>
    </row>
    <row r="148" spans="1:43" s="3" customFormat="1">
      <c r="A148" s="37" t="s">
        <v>139</v>
      </c>
      <c r="B148" s="14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4"/>
      <c r="N148" s="21"/>
      <c r="O148" s="6"/>
      <c r="P148" s="10"/>
      <c r="Q148" s="6"/>
      <c r="R148" s="6"/>
      <c r="S148" s="6"/>
      <c r="T148" s="10"/>
      <c r="U148" s="6"/>
      <c r="V148" s="6"/>
      <c r="W148" s="6">
        <v>1E-3</v>
      </c>
      <c r="X148" s="10">
        <v>0.2</v>
      </c>
      <c r="Y148" s="6"/>
      <c r="Z148" s="10"/>
      <c r="AA148" s="6"/>
      <c r="AB148" s="10"/>
      <c r="AC148" s="6"/>
      <c r="AD148" s="10"/>
      <c r="AE148" s="6"/>
      <c r="AF148" s="6">
        <v>1.1199999999999999E-3</v>
      </c>
      <c r="AG148" s="6">
        <v>0.114</v>
      </c>
      <c r="AH148" s="6">
        <v>0.223</v>
      </c>
      <c r="AI148" s="4">
        <f t="shared" si="40"/>
        <v>4.4999999999999998E-2</v>
      </c>
      <c r="AJ148" s="21">
        <f>ROUND((AH148)*0.8138,3)</f>
        <v>0.18099999999999999</v>
      </c>
      <c r="AK148" s="6">
        <v>9.4E-2</v>
      </c>
      <c r="AL148" s="10">
        <f t="shared" si="41"/>
        <v>0.65699999999999992</v>
      </c>
      <c r="AM148" s="10"/>
      <c r="AN148" s="6">
        <v>4.0000000000000001E-3</v>
      </c>
      <c r="AO148" s="6">
        <v>6.92</v>
      </c>
      <c r="AP148" s="6">
        <f>AF148</f>
        <v>1.1199999999999999E-3</v>
      </c>
      <c r="AQ148" s="10">
        <f>AL148</f>
        <v>0.65699999999999992</v>
      </c>
    </row>
    <row r="149" spans="1:43" s="3" customFormat="1">
      <c r="A149" s="37" t="s">
        <v>44</v>
      </c>
      <c r="B149" s="14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4">
        <f t="shared" ref="M149:M151" si="42">ROUND((L149)*0.202,3)</f>
        <v>0</v>
      </c>
      <c r="N149" s="21">
        <f t="shared" ref="N149:N151" si="43">ROUND((L149)*1.0457,3)</f>
        <v>0</v>
      </c>
      <c r="O149" s="6"/>
      <c r="P149" s="10">
        <f t="shared" ref="P149:P151" si="44">SUM(K149:O149)</f>
        <v>0</v>
      </c>
      <c r="Q149" s="6"/>
      <c r="R149" s="6"/>
      <c r="S149" s="6">
        <f>I149+E149</f>
        <v>0</v>
      </c>
      <c r="T149" s="10">
        <f>P149</f>
        <v>0</v>
      </c>
      <c r="U149" s="6"/>
      <c r="V149" s="6"/>
      <c r="W149" s="6"/>
      <c r="X149" s="10"/>
      <c r="Y149" s="6"/>
      <c r="Z149" s="10"/>
      <c r="AA149" s="6"/>
      <c r="AB149" s="10"/>
      <c r="AC149" s="6"/>
      <c r="AD149" s="10"/>
      <c r="AE149" s="6"/>
      <c r="AF149" s="6"/>
      <c r="AG149" s="6"/>
      <c r="AH149" s="6"/>
      <c r="AI149" s="4">
        <f t="shared" si="40"/>
        <v>0</v>
      </c>
      <c r="AJ149" s="21">
        <f>ROUND((AH149)*1.0457,3)</f>
        <v>0</v>
      </c>
      <c r="AK149" s="6"/>
      <c r="AL149" s="10">
        <f t="shared" si="41"/>
        <v>0</v>
      </c>
      <c r="AM149" s="10"/>
      <c r="AN149" s="6">
        <v>5.0000000000000001E-3</v>
      </c>
      <c r="AO149" s="6">
        <v>8.65</v>
      </c>
      <c r="AP149" s="6">
        <f t="shared" ref="AP149:AQ149" si="45">S149</f>
        <v>0</v>
      </c>
      <c r="AQ149" s="6">
        <f t="shared" si="45"/>
        <v>0</v>
      </c>
    </row>
    <row r="150" spans="1:43" s="3" customFormat="1">
      <c r="A150" s="37" t="s">
        <v>142</v>
      </c>
      <c r="B150" s="14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4"/>
      <c r="N150" s="21"/>
      <c r="O150" s="6"/>
      <c r="P150" s="10"/>
      <c r="Q150" s="6"/>
      <c r="R150" s="6"/>
      <c r="S150" s="6"/>
      <c r="T150" s="10"/>
      <c r="U150" s="6"/>
      <c r="V150" s="6"/>
      <c r="W150" s="6"/>
      <c r="X150" s="10"/>
      <c r="Y150" s="6"/>
      <c r="Z150" s="10"/>
      <c r="AA150" s="6"/>
      <c r="AB150" s="10"/>
      <c r="AC150" s="6">
        <v>3.0000000000000001E-3</v>
      </c>
      <c r="AD150" s="10">
        <v>0.36899999999999999</v>
      </c>
      <c r="AE150" s="6"/>
      <c r="AF150" s="6"/>
      <c r="AG150" s="6"/>
      <c r="AH150" s="6"/>
      <c r="AI150" s="4"/>
      <c r="AJ150" s="21"/>
      <c r="AK150" s="6"/>
      <c r="AL150" s="10"/>
      <c r="AM150" s="10"/>
      <c r="AN150" s="6">
        <v>8.0000000000000002E-3</v>
      </c>
      <c r="AO150" s="6">
        <v>13.83</v>
      </c>
      <c r="AP150" s="6">
        <f>AC150</f>
        <v>3.0000000000000001E-3</v>
      </c>
      <c r="AQ150" s="10">
        <f>AD150</f>
        <v>0.36899999999999999</v>
      </c>
    </row>
    <row r="151" spans="1:43" s="3" customFormat="1">
      <c r="A151" s="37" t="s">
        <v>38</v>
      </c>
      <c r="B151" s="14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4">
        <f t="shared" si="42"/>
        <v>0</v>
      </c>
      <c r="N151" s="21">
        <f t="shared" si="43"/>
        <v>0</v>
      </c>
      <c r="O151" s="6"/>
      <c r="P151" s="10">
        <f t="shared" si="44"/>
        <v>0</v>
      </c>
      <c r="Q151" s="6"/>
      <c r="R151" s="6"/>
      <c r="S151" s="6">
        <f>I151+E151</f>
        <v>0</v>
      </c>
      <c r="T151" s="10">
        <f>P151</f>
        <v>0</v>
      </c>
      <c r="U151" s="6"/>
      <c r="V151" s="6"/>
      <c r="W151" s="6"/>
      <c r="X151" s="10"/>
      <c r="Y151" s="6"/>
      <c r="Z151" s="10"/>
      <c r="AA151" s="6"/>
      <c r="AB151" s="10"/>
      <c r="AC151" s="6"/>
      <c r="AD151" s="10"/>
      <c r="AE151" s="6"/>
      <c r="AF151" s="6"/>
      <c r="AG151" s="6"/>
      <c r="AH151" s="6"/>
      <c r="AI151" s="4">
        <f t="shared" si="40"/>
        <v>0</v>
      </c>
      <c r="AJ151" s="21">
        <f>ROUND((AH151)*1.0457,3)</f>
        <v>0</v>
      </c>
      <c r="AK151" s="6"/>
      <c r="AL151" s="10">
        <f t="shared" si="41"/>
        <v>0</v>
      </c>
      <c r="AM151" s="10"/>
      <c r="AN151" s="6">
        <v>2.1999999999999999E-2</v>
      </c>
      <c r="AO151" s="6">
        <v>38.020000000000003</v>
      </c>
      <c r="AP151" s="6">
        <v>1.2699999999999999E-2</v>
      </c>
      <c r="AQ151" s="6">
        <v>6.609</v>
      </c>
    </row>
    <row r="152" spans="1:43" s="9" customFormat="1">
      <c r="A152" s="37" t="s">
        <v>140</v>
      </c>
      <c r="B152" s="14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4"/>
      <c r="N152" s="21"/>
      <c r="O152" s="6"/>
      <c r="P152" s="10"/>
      <c r="Q152" s="6"/>
      <c r="R152" s="6"/>
      <c r="S152" s="6"/>
      <c r="T152" s="10"/>
      <c r="U152" s="6"/>
      <c r="V152" s="6"/>
      <c r="W152" s="6"/>
      <c r="X152" s="10"/>
      <c r="Y152" s="6"/>
      <c r="Z152" s="10"/>
      <c r="AA152" s="6"/>
      <c r="AB152" s="10"/>
      <c r="AC152" s="6"/>
      <c r="AD152" s="10"/>
      <c r="AE152" s="19"/>
      <c r="AF152" s="6"/>
      <c r="AG152" s="6"/>
      <c r="AH152" s="6"/>
      <c r="AI152" s="4"/>
      <c r="AJ152" s="21"/>
      <c r="AK152" s="6"/>
      <c r="AL152" s="10"/>
      <c r="AM152" s="10"/>
      <c r="AN152" s="6">
        <v>1.7000000000000001E-2</v>
      </c>
      <c r="AO152" s="6">
        <v>29.38</v>
      </c>
      <c r="AP152" s="6">
        <v>7.1000000000000004E-3</v>
      </c>
      <c r="AQ152" s="6">
        <v>1.107</v>
      </c>
    </row>
    <row r="153" spans="1:43">
      <c r="A153" s="37" t="s">
        <v>24</v>
      </c>
      <c r="B153" s="14"/>
      <c r="C153" s="6"/>
      <c r="D153" s="6"/>
      <c r="E153" s="6"/>
      <c r="F153" s="6"/>
      <c r="G153" s="6"/>
      <c r="H153" s="6"/>
      <c r="I153" s="6"/>
      <c r="J153" s="6">
        <v>1.823</v>
      </c>
      <c r="K153" s="6"/>
      <c r="L153" s="6"/>
      <c r="M153" s="4">
        <f>ROUND((L153)*0.202,3)</f>
        <v>0</v>
      </c>
      <c r="N153" s="21">
        <f>ROUND((L153)*1.0457,3)</f>
        <v>0</v>
      </c>
      <c r="O153" s="6"/>
      <c r="P153" s="10">
        <f>SUM(K153:O153)</f>
        <v>0</v>
      </c>
      <c r="Q153" s="6"/>
      <c r="R153" s="6"/>
      <c r="S153" s="6">
        <f>I153+E153</f>
        <v>0</v>
      </c>
      <c r="T153" s="10">
        <f>J153</f>
        <v>1.823</v>
      </c>
      <c r="U153" s="6"/>
      <c r="V153" s="6"/>
      <c r="W153" s="6"/>
      <c r="X153" s="10"/>
      <c r="Y153" s="6"/>
      <c r="Z153" s="10"/>
      <c r="AA153" s="6"/>
      <c r="AB153" s="10"/>
      <c r="AC153" s="6"/>
      <c r="AD153" s="10"/>
      <c r="AE153" s="19"/>
      <c r="AF153" s="6"/>
      <c r="AG153" s="6"/>
      <c r="AH153" s="6"/>
      <c r="AI153" s="4">
        <f>ROUND((AH153)*0.202,3)</f>
        <v>0</v>
      </c>
      <c r="AJ153" s="21">
        <f>ROUND((AH153)*1.0457,3)</f>
        <v>0</v>
      </c>
      <c r="AK153" s="6"/>
      <c r="AL153" s="10">
        <f>SUM(AG153:AK153)</f>
        <v>0</v>
      </c>
      <c r="AM153" s="10"/>
      <c r="AN153" s="6">
        <v>8.0000000000000002E-3</v>
      </c>
      <c r="AO153" s="6">
        <v>13.83</v>
      </c>
      <c r="AP153" s="6">
        <f t="shared" ref="AP153:AQ154" si="46">S153</f>
        <v>0</v>
      </c>
      <c r="AQ153" s="6">
        <f t="shared" si="46"/>
        <v>1.823</v>
      </c>
    </row>
    <row r="154" spans="1:43">
      <c r="A154" s="37" t="s">
        <v>141</v>
      </c>
      <c r="B154" s="14"/>
      <c r="C154" s="6"/>
      <c r="D154" s="6"/>
      <c r="E154" s="6"/>
      <c r="F154" s="6"/>
      <c r="G154" s="6"/>
      <c r="H154" s="6"/>
      <c r="I154" s="6">
        <v>3.2000000000000002E-3</v>
      </c>
      <c r="J154" s="6">
        <v>0.98699999999999999</v>
      </c>
      <c r="K154" s="6">
        <v>7.0000000000000001E-3</v>
      </c>
      <c r="L154" s="6">
        <v>0.439</v>
      </c>
      <c r="M154" s="4">
        <f>ROUND((L154)*0.202,3)</f>
        <v>8.8999999999999996E-2</v>
      </c>
      <c r="N154" s="21">
        <f>ROUND((L154)*1.0457,3)</f>
        <v>0.45900000000000002</v>
      </c>
      <c r="O154" s="6">
        <v>9.4E-2</v>
      </c>
      <c r="P154" s="10">
        <f>SUM(K154:O154)</f>
        <v>1.0880000000000001</v>
      </c>
      <c r="Q154" s="6">
        <v>8.0000000000000002E-3</v>
      </c>
      <c r="R154" s="6">
        <v>13.83</v>
      </c>
      <c r="S154" s="6">
        <f>I154+E154</f>
        <v>3.2000000000000002E-3</v>
      </c>
      <c r="T154" s="10">
        <f>P154</f>
        <v>1.0880000000000001</v>
      </c>
      <c r="U154" s="6"/>
      <c r="V154" s="6"/>
      <c r="W154" s="6"/>
      <c r="X154" s="10"/>
      <c r="Y154" s="6"/>
      <c r="Z154" s="10"/>
      <c r="AA154" s="6"/>
      <c r="AB154" s="10"/>
      <c r="AC154" s="6"/>
      <c r="AD154" s="10"/>
      <c r="AE154" s="19"/>
      <c r="AF154" s="6"/>
      <c r="AG154" s="6"/>
      <c r="AH154" s="6"/>
      <c r="AI154" s="4">
        <f>ROUND((AH154)*0.202,3)</f>
        <v>0</v>
      </c>
      <c r="AJ154" s="21">
        <f>ROUND((AH154)*1.0457,3)</f>
        <v>0</v>
      </c>
      <c r="AK154" s="6"/>
      <c r="AL154" s="10">
        <f>SUM(AG154:AK154)</f>
        <v>0</v>
      </c>
      <c r="AM154" s="10"/>
      <c r="AN154" s="6">
        <v>8.0000000000000002E-3</v>
      </c>
      <c r="AO154" s="6">
        <v>13.83</v>
      </c>
      <c r="AP154" s="6">
        <f t="shared" si="46"/>
        <v>3.2000000000000002E-3</v>
      </c>
      <c r="AQ154" s="6">
        <f t="shared" si="46"/>
        <v>1.0880000000000001</v>
      </c>
    </row>
    <row r="155" spans="1:43">
      <c r="A155" s="37" t="s">
        <v>122</v>
      </c>
      <c r="B155" s="1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4"/>
      <c r="N155" s="21"/>
      <c r="O155" s="6"/>
      <c r="P155" s="10"/>
      <c r="Q155" s="6"/>
      <c r="R155" s="6"/>
      <c r="S155" s="6"/>
      <c r="T155" s="10"/>
      <c r="U155" s="6"/>
      <c r="V155" s="6"/>
      <c r="W155" s="6"/>
      <c r="X155" s="10"/>
      <c r="Y155" s="6"/>
      <c r="Z155" s="10"/>
      <c r="AA155" s="6"/>
      <c r="AB155" s="10"/>
      <c r="AC155" s="6">
        <v>2E-3</v>
      </c>
      <c r="AD155" s="10">
        <v>0.13900000000000001</v>
      </c>
      <c r="AE155" s="19"/>
      <c r="AF155" s="6"/>
      <c r="AG155" s="6"/>
      <c r="AH155" s="6"/>
      <c r="AI155" s="4"/>
      <c r="AJ155" s="21"/>
      <c r="AK155" s="6"/>
      <c r="AL155" s="10"/>
      <c r="AM155" s="10"/>
      <c r="AN155" s="6">
        <v>0</v>
      </c>
      <c r="AO155" s="6">
        <v>0</v>
      </c>
      <c r="AP155" s="6">
        <f>AC155</f>
        <v>2E-3</v>
      </c>
      <c r="AQ155" s="10">
        <f>AD155</f>
        <v>0.13900000000000001</v>
      </c>
    </row>
    <row r="156" spans="1:43" s="9" customFormat="1">
      <c r="A156" s="37" t="s">
        <v>143</v>
      </c>
      <c r="B156" s="14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4"/>
      <c r="N156" s="21"/>
      <c r="O156" s="6"/>
      <c r="P156" s="10"/>
      <c r="Q156" s="6">
        <v>7.0000000000000001E-3</v>
      </c>
      <c r="R156" s="6">
        <v>12.1</v>
      </c>
      <c r="S156" s="6" t="e">
        <f>#REF!+#REF!+#REF!</f>
        <v>#REF!</v>
      </c>
      <c r="T156" s="6" t="e">
        <f>#REF!+#REF!+#REF!</f>
        <v>#REF!</v>
      </c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4"/>
      <c r="AJ156" s="21"/>
      <c r="AK156" s="6"/>
      <c r="AL156" s="10"/>
      <c r="AM156" s="10"/>
      <c r="AN156" s="6">
        <v>7.0000000000000001E-3</v>
      </c>
      <c r="AO156" s="6">
        <v>12.1</v>
      </c>
      <c r="AP156" s="6">
        <v>6.4000000000000003E-3</v>
      </c>
      <c r="AQ156" s="6">
        <v>7.9130000000000003</v>
      </c>
    </row>
    <row r="157" spans="1:43" s="9" customFormat="1">
      <c r="A157" s="37" t="s">
        <v>51</v>
      </c>
      <c r="B157" s="1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4"/>
      <c r="N157" s="21"/>
      <c r="O157" s="6"/>
      <c r="P157" s="10"/>
      <c r="Q157" s="6">
        <v>1.2E-2</v>
      </c>
      <c r="R157" s="6">
        <v>20.74</v>
      </c>
      <c r="S157" s="6" t="e">
        <f>#REF!+#REF!</f>
        <v>#REF!</v>
      </c>
      <c r="T157" s="6" t="e">
        <f>#REF!+#REF!</f>
        <v>#REF!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4"/>
      <c r="AJ157" s="21"/>
      <c r="AK157" s="6"/>
      <c r="AL157" s="10"/>
      <c r="AM157" s="10"/>
      <c r="AN157" s="6">
        <v>1.2E-2</v>
      </c>
      <c r="AO157" s="6">
        <v>20.74</v>
      </c>
      <c r="AP157" s="6">
        <v>2.4799999999999999E-2</v>
      </c>
      <c r="AQ157" s="6">
        <v>10.212999999999999</v>
      </c>
    </row>
    <row r="158" spans="1:43">
      <c r="A158" s="37" t="s">
        <v>128</v>
      </c>
      <c r="B158" s="1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4"/>
      <c r="N158" s="21"/>
      <c r="O158" s="6"/>
      <c r="P158" s="10"/>
      <c r="Q158" s="6"/>
      <c r="R158" s="6"/>
      <c r="S158" s="6"/>
      <c r="T158" s="10"/>
      <c r="U158" s="6"/>
      <c r="V158" s="6"/>
      <c r="W158" s="6"/>
      <c r="X158" s="10"/>
      <c r="Y158" s="6">
        <v>3.0000000000000001E-3</v>
      </c>
      <c r="Z158" s="10">
        <v>0.21199999999999999</v>
      </c>
      <c r="AA158" s="6">
        <v>3.0000000000000001E-3</v>
      </c>
      <c r="AB158" s="10">
        <v>0.21199999999999999</v>
      </c>
      <c r="AC158" s="6"/>
      <c r="AD158" s="10"/>
      <c r="AE158" s="19"/>
      <c r="AF158" s="6">
        <v>5.3E-3</v>
      </c>
      <c r="AG158" s="6">
        <v>0.191</v>
      </c>
      <c r="AH158" s="6">
        <v>0.72799999999999998</v>
      </c>
      <c r="AI158" s="4">
        <f t="shared" ref="AI158:AI164" si="47">ROUND((AH158)*0.202,3)</f>
        <v>0.14699999999999999</v>
      </c>
      <c r="AJ158" s="21">
        <f t="shared" ref="AJ158" si="48">ROUND((AH158)*0.8138,3)</f>
        <v>0.59199999999999997</v>
      </c>
      <c r="AK158" s="6">
        <v>0.159</v>
      </c>
      <c r="AL158" s="10">
        <f t="shared" ref="AL158:AL164" si="49">SUM(AG158:AK158)</f>
        <v>1.8169999999999999</v>
      </c>
      <c r="AM158" s="10"/>
      <c r="AN158" s="6">
        <v>1.0999999999999999E-2</v>
      </c>
      <c r="AO158" s="6">
        <v>19.010000000000002</v>
      </c>
      <c r="AP158" s="6">
        <f>AF158</f>
        <v>5.3E-3</v>
      </c>
      <c r="AQ158" s="10">
        <f>AL158</f>
        <v>1.8169999999999999</v>
      </c>
    </row>
    <row r="159" spans="1:43">
      <c r="A159" s="37" t="s">
        <v>129</v>
      </c>
      <c r="B159" s="14"/>
      <c r="C159" s="6"/>
      <c r="D159" s="6"/>
      <c r="E159" s="6">
        <v>3.2000000000000002E-3</v>
      </c>
      <c r="F159" s="6">
        <v>0.98</v>
      </c>
      <c r="G159" s="6"/>
      <c r="H159" s="6"/>
      <c r="I159" s="6"/>
      <c r="J159" s="6"/>
      <c r="K159" s="6"/>
      <c r="L159" s="6">
        <v>0.439</v>
      </c>
      <c r="M159" s="4">
        <f>ROUND((L159)*0.202,3)</f>
        <v>8.8999999999999996E-2</v>
      </c>
      <c r="N159" s="21">
        <f>ROUND((L159)*1.0457,3)</f>
        <v>0.45900000000000002</v>
      </c>
      <c r="O159" s="6">
        <v>9.4E-2</v>
      </c>
      <c r="P159" s="10">
        <f>SUM(K159:O159)</f>
        <v>1.0810000000000002</v>
      </c>
      <c r="Q159" s="6">
        <v>2E-3</v>
      </c>
      <c r="R159" s="6">
        <v>3.448</v>
      </c>
      <c r="S159" s="6">
        <f>I159+E159</f>
        <v>3.2000000000000002E-3</v>
      </c>
      <c r="T159" s="10">
        <f>P159</f>
        <v>1.0810000000000002</v>
      </c>
      <c r="U159" s="6"/>
      <c r="V159" s="6"/>
      <c r="W159" s="6"/>
      <c r="X159" s="10"/>
      <c r="Y159" s="6"/>
      <c r="Z159" s="10"/>
      <c r="AA159" s="6"/>
      <c r="AB159" s="10"/>
      <c r="AC159" s="6"/>
      <c r="AD159" s="10"/>
      <c r="AE159" s="19"/>
      <c r="AF159" s="6"/>
      <c r="AG159" s="6"/>
      <c r="AH159" s="6"/>
      <c r="AI159" s="4">
        <f t="shared" si="47"/>
        <v>0</v>
      </c>
      <c r="AJ159" s="21">
        <f>ROUND((AH159)*1.0457,3)</f>
        <v>0</v>
      </c>
      <c r="AK159" s="6"/>
      <c r="AL159" s="10">
        <f t="shared" si="49"/>
        <v>0</v>
      </c>
      <c r="AM159" s="10"/>
      <c r="AN159" s="6">
        <v>2E-3</v>
      </c>
      <c r="AO159" s="6">
        <v>3.448</v>
      </c>
      <c r="AP159" s="6">
        <f t="shared" ref="AP159:AQ164" si="50">S159</f>
        <v>3.2000000000000002E-3</v>
      </c>
      <c r="AQ159" s="6">
        <f t="shared" si="50"/>
        <v>1.0810000000000002</v>
      </c>
    </row>
    <row r="160" spans="1:43">
      <c r="A160" s="37" t="s">
        <v>144</v>
      </c>
      <c r="B160" s="14"/>
      <c r="C160" s="6"/>
      <c r="D160" s="6"/>
      <c r="E160" s="6">
        <v>2.0999999999999999E-3</v>
      </c>
      <c r="F160" s="6">
        <v>0.69399999999999995</v>
      </c>
      <c r="G160" s="6"/>
      <c r="H160" s="6"/>
      <c r="I160" s="6"/>
      <c r="J160" s="6"/>
      <c r="K160" s="6">
        <v>0.05</v>
      </c>
      <c r="L160" s="6">
        <v>0.28799999999999998</v>
      </c>
      <c r="M160" s="4">
        <f>ROUND((L160)*0.202,3)</f>
        <v>5.8000000000000003E-2</v>
      </c>
      <c r="N160" s="21">
        <f>ROUND((L160)*1.0457,3)</f>
        <v>0.30099999999999999</v>
      </c>
      <c r="O160" s="6">
        <v>6.2E-2</v>
      </c>
      <c r="P160" s="10">
        <f>SUM(K160:O160)</f>
        <v>0.7589999999999999</v>
      </c>
      <c r="Q160" s="6"/>
      <c r="R160" s="6"/>
      <c r="S160" s="6">
        <f>I160+E160</f>
        <v>2.0999999999999999E-3</v>
      </c>
      <c r="T160" s="10">
        <f>P160</f>
        <v>0.7589999999999999</v>
      </c>
      <c r="U160" s="6"/>
      <c r="V160" s="6"/>
      <c r="W160" s="6"/>
      <c r="X160" s="10"/>
      <c r="Y160" s="6"/>
      <c r="Z160" s="10"/>
      <c r="AA160" s="6"/>
      <c r="AB160" s="10"/>
      <c r="AC160" s="6"/>
      <c r="AD160" s="10"/>
      <c r="AE160" s="19"/>
      <c r="AF160" s="6"/>
      <c r="AG160" s="6"/>
      <c r="AH160" s="6"/>
      <c r="AI160" s="4">
        <f t="shared" si="47"/>
        <v>0</v>
      </c>
      <c r="AJ160" s="21">
        <f>ROUND((AH160)*1.0457,3)</f>
        <v>0</v>
      </c>
      <c r="AK160" s="6"/>
      <c r="AL160" s="10">
        <f t="shared" si="49"/>
        <v>0</v>
      </c>
      <c r="AM160" s="10"/>
      <c r="AN160" s="6">
        <v>0</v>
      </c>
      <c r="AO160" s="6">
        <v>0</v>
      </c>
      <c r="AP160" s="6">
        <f t="shared" si="50"/>
        <v>2.0999999999999999E-3</v>
      </c>
      <c r="AQ160" s="6">
        <f t="shared" si="50"/>
        <v>0.7589999999999999</v>
      </c>
    </row>
    <row r="161" spans="1:43">
      <c r="A161" s="37" t="s">
        <v>145</v>
      </c>
      <c r="B161" s="1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4"/>
      <c r="N161" s="21"/>
      <c r="O161" s="6"/>
      <c r="P161" s="10"/>
      <c r="Q161" s="6"/>
      <c r="R161" s="6"/>
      <c r="S161" s="6"/>
      <c r="T161" s="10"/>
      <c r="U161" s="6"/>
      <c r="V161" s="6"/>
      <c r="W161" s="6">
        <v>4.0000000000000001E-3</v>
      </c>
      <c r="X161" s="10">
        <v>0.45</v>
      </c>
      <c r="Y161" s="6"/>
      <c r="Z161" s="10"/>
      <c r="AA161" s="6"/>
      <c r="AB161" s="10"/>
      <c r="AC161" s="6"/>
      <c r="AD161" s="10"/>
      <c r="AE161" s="19"/>
      <c r="AF161" s="6">
        <v>4.3E-3</v>
      </c>
      <c r="AG161" s="6">
        <v>0.246</v>
      </c>
      <c r="AH161" s="6">
        <v>0.59</v>
      </c>
      <c r="AI161" s="4">
        <f t="shared" si="47"/>
        <v>0.11899999999999999</v>
      </c>
      <c r="AJ161" s="21">
        <f>ROUND((AH161)*0.8138,3)</f>
        <v>0.48</v>
      </c>
      <c r="AK161" s="6">
        <v>0.129</v>
      </c>
      <c r="AL161" s="10">
        <f t="shared" si="49"/>
        <v>1.5640000000000001</v>
      </c>
      <c r="AM161" s="10"/>
      <c r="AN161" s="6">
        <v>0</v>
      </c>
      <c r="AO161" s="6">
        <v>0</v>
      </c>
      <c r="AP161" s="6">
        <f>AF161</f>
        <v>4.3E-3</v>
      </c>
      <c r="AQ161" s="10">
        <f>AL161</f>
        <v>1.5640000000000001</v>
      </c>
    </row>
    <row r="162" spans="1:43">
      <c r="A162" s="37" t="s">
        <v>65</v>
      </c>
      <c r="B162" s="14"/>
      <c r="C162" s="6"/>
      <c r="D162" s="6"/>
      <c r="E162" s="6">
        <v>1.1000000000000001E-3</v>
      </c>
      <c r="F162" s="6">
        <v>0.33700000000000002</v>
      </c>
      <c r="G162" s="6"/>
      <c r="H162" s="6"/>
      <c r="I162" s="6"/>
      <c r="J162" s="6"/>
      <c r="K162" s="6"/>
      <c r="L162" s="6">
        <v>0.151</v>
      </c>
      <c r="M162" s="4">
        <f>ROUND((L162)*0.202,3)</f>
        <v>3.1E-2</v>
      </c>
      <c r="N162" s="21">
        <f>ROUND((L162)*1.0457,3)</f>
        <v>0.158</v>
      </c>
      <c r="O162" s="6">
        <v>3.2000000000000001E-2</v>
      </c>
      <c r="P162" s="10">
        <f>SUM(K162:O162)</f>
        <v>0.372</v>
      </c>
      <c r="Q162" s="6">
        <v>5.0000000000000001E-3</v>
      </c>
      <c r="R162" s="6">
        <v>8.6419999999999995</v>
      </c>
      <c r="S162" s="6">
        <f>I162+E162</f>
        <v>1.1000000000000001E-3</v>
      </c>
      <c r="T162" s="10">
        <f>P162</f>
        <v>0.372</v>
      </c>
      <c r="U162" s="6"/>
      <c r="V162" s="6"/>
      <c r="W162" s="6"/>
      <c r="X162" s="10"/>
      <c r="Y162" s="6"/>
      <c r="Z162" s="10"/>
      <c r="AA162" s="6"/>
      <c r="AB162" s="10"/>
      <c r="AC162" s="6"/>
      <c r="AD162" s="10"/>
      <c r="AE162" s="19"/>
      <c r="AF162" s="6"/>
      <c r="AG162" s="6"/>
      <c r="AH162" s="6"/>
      <c r="AI162" s="4">
        <f t="shared" si="47"/>
        <v>0</v>
      </c>
      <c r="AJ162" s="21">
        <f t="shared" ref="AJ162:AJ163" si="51">ROUND((AH162)*0.8138,3)</f>
        <v>0</v>
      </c>
      <c r="AK162" s="6"/>
      <c r="AL162" s="10">
        <f t="shared" si="49"/>
        <v>0</v>
      </c>
      <c r="AM162" s="10"/>
      <c r="AN162" s="6">
        <v>5.0000000000000001E-3</v>
      </c>
      <c r="AO162" s="6">
        <v>8.6419999999999995</v>
      </c>
      <c r="AP162" s="6">
        <f t="shared" si="50"/>
        <v>1.1000000000000001E-3</v>
      </c>
      <c r="AQ162" s="6">
        <f t="shared" si="50"/>
        <v>0.372</v>
      </c>
    </row>
    <row r="163" spans="1:43">
      <c r="A163" s="37" t="s">
        <v>136</v>
      </c>
      <c r="B163" s="1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4"/>
      <c r="N163" s="21"/>
      <c r="O163" s="6"/>
      <c r="P163" s="10"/>
      <c r="Q163" s="6"/>
      <c r="R163" s="6"/>
      <c r="S163" s="6"/>
      <c r="T163" s="10"/>
      <c r="U163" s="6"/>
      <c r="V163" s="6"/>
      <c r="W163" s="6"/>
      <c r="X163" s="10"/>
      <c r="Y163" s="6">
        <v>2E-3</v>
      </c>
      <c r="Z163" s="10">
        <v>0.30399999999999999</v>
      </c>
      <c r="AA163" s="6">
        <v>2E-3</v>
      </c>
      <c r="AB163" s="10">
        <v>0.30399999999999999</v>
      </c>
      <c r="AC163" s="6"/>
      <c r="AD163" s="10"/>
      <c r="AE163" s="19"/>
      <c r="AF163" s="6">
        <v>3.2000000000000002E-3</v>
      </c>
      <c r="AG163" s="6">
        <v>0.187</v>
      </c>
      <c r="AH163" s="6">
        <v>0.439</v>
      </c>
      <c r="AI163" s="4">
        <f t="shared" si="47"/>
        <v>8.8999999999999996E-2</v>
      </c>
      <c r="AJ163" s="21">
        <f t="shared" si="51"/>
        <v>0.35699999999999998</v>
      </c>
      <c r="AK163" s="6">
        <v>9.6000000000000002E-2</v>
      </c>
      <c r="AL163" s="10">
        <f t="shared" si="49"/>
        <v>1.1680000000000001</v>
      </c>
      <c r="AM163" s="10"/>
      <c r="AN163" s="6">
        <v>5.0000000000000001E-3</v>
      </c>
      <c r="AO163" s="6">
        <v>8.6419999999999995</v>
      </c>
      <c r="AP163" s="6">
        <f>AF163</f>
        <v>3.2000000000000002E-3</v>
      </c>
      <c r="AQ163" s="10">
        <f>AL163</f>
        <v>1.1680000000000001</v>
      </c>
    </row>
    <row r="164" spans="1:43">
      <c r="A164" s="37" t="s">
        <v>76</v>
      </c>
      <c r="B164" s="14"/>
      <c r="C164" s="6"/>
      <c r="D164" s="6"/>
      <c r="E164" s="6"/>
      <c r="F164" s="6"/>
      <c r="G164" s="6"/>
      <c r="H164" s="6"/>
      <c r="I164" s="6">
        <v>2.0999999999999999E-3</v>
      </c>
      <c r="J164" s="6">
        <v>0.72299999999999998</v>
      </c>
      <c r="K164" s="6">
        <v>1.6E-2</v>
      </c>
      <c r="L164" s="6">
        <v>0.28799999999999998</v>
      </c>
      <c r="M164" s="4">
        <f>ROUND((L164)*0.202,3)</f>
        <v>5.8000000000000003E-2</v>
      </c>
      <c r="N164" s="21">
        <f>ROUND((L164)*1.0457,3)</f>
        <v>0.30099999999999999</v>
      </c>
      <c r="O164" s="6">
        <v>6.2E-2</v>
      </c>
      <c r="P164" s="10">
        <f>SUM(K164:O164)</f>
        <v>0.72500000000000009</v>
      </c>
      <c r="Q164" s="6"/>
      <c r="R164" s="6"/>
      <c r="S164" s="6">
        <f>I164+E164</f>
        <v>2.0999999999999999E-3</v>
      </c>
      <c r="T164" s="10">
        <f>P164</f>
        <v>0.72500000000000009</v>
      </c>
      <c r="U164" s="6"/>
      <c r="V164" s="6"/>
      <c r="W164" s="6"/>
      <c r="X164" s="10"/>
      <c r="Y164" s="6"/>
      <c r="Z164" s="10"/>
      <c r="AA164" s="6"/>
      <c r="AB164" s="10"/>
      <c r="AC164" s="6"/>
      <c r="AD164" s="10"/>
      <c r="AE164" s="19"/>
      <c r="AF164" s="6"/>
      <c r="AG164" s="6"/>
      <c r="AH164" s="6"/>
      <c r="AI164" s="4">
        <f t="shared" si="47"/>
        <v>0</v>
      </c>
      <c r="AJ164" s="21">
        <f>ROUND((AH164)*1.0457,3)</f>
        <v>0</v>
      </c>
      <c r="AK164" s="6"/>
      <c r="AL164" s="10">
        <f t="shared" si="49"/>
        <v>0</v>
      </c>
      <c r="AM164" s="10"/>
      <c r="AN164" s="6">
        <v>0</v>
      </c>
      <c r="AO164" s="6">
        <v>0</v>
      </c>
      <c r="AP164" s="6">
        <f t="shared" si="50"/>
        <v>2.0999999999999999E-3</v>
      </c>
      <c r="AQ164" s="6">
        <f t="shared" si="50"/>
        <v>0.72500000000000009</v>
      </c>
    </row>
    <row r="165" spans="1:43">
      <c r="A165" s="39" t="s">
        <v>64</v>
      </c>
      <c r="B165" s="33" t="s">
        <v>35</v>
      </c>
      <c r="C165" s="30">
        <v>2.7E-2</v>
      </c>
      <c r="D165" s="30">
        <v>49.37</v>
      </c>
      <c r="E165" s="30">
        <f>SUM(E170:E175)</f>
        <v>1.072E-2</v>
      </c>
      <c r="F165" s="30">
        <f>SUM(F170:F175)</f>
        <v>4.0830000000000002</v>
      </c>
      <c r="G165" s="30">
        <v>2.7E-2</v>
      </c>
      <c r="H165" s="30">
        <v>49.37</v>
      </c>
      <c r="I165" s="30">
        <f t="shared" ref="I165:R165" si="52">SUM(I166:I182)</f>
        <v>7.4000000000000003E-3</v>
      </c>
      <c r="J165" s="30">
        <f t="shared" si="52"/>
        <v>2.3359999999999999</v>
      </c>
      <c r="K165" s="30">
        <f t="shared" si="52"/>
        <v>0.70100000000000007</v>
      </c>
      <c r="L165" s="30">
        <f t="shared" si="52"/>
        <v>2.798</v>
      </c>
      <c r="M165" s="30">
        <f t="shared" si="52"/>
        <v>0.56600000000000006</v>
      </c>
      <c r="N165" s="30">
        <f t="shared" si="52"/>
        <v>2.9249999999999998</v>
      </c>
      <c r="O165" s="30">
        <f t="shared" si="52"/>
        <v>0.71799999999999997</v>
      </c>
      <c r="P165" s="30">
        <f t="shared" si="52"/>
        <v>7.7080000000000002</v>
      </c>
      <c r="Q165" s="30">
        <f t="shared" si="52"/>
        <v>3.6999999999999998E-2</v>
      </c>
      <c r="R165" s="30">
        <f t="shared" si="52"/>
        <v>67.66</v>
      </c>
      <c r="S165" s="30" t="e">
        <f t="shared" ref="S165:AD165" si="53">SUM(S166:S182)-S169-S166</f>
        <v>#REF!</v>
      </c>
      <c r="T165" s="30" t="e">
        <f t="shared" si="53"/>
        <v>#REF!</v>
      </c>
      <c r="U165" s="30">
        <f t="shared" si="53"/>
        <v>0</v>
      </c>
      <c r="V165" s="30">
        <f t="shared" si="53"/>
        <v>0</v>
      </c>
      <c r="W165" s="30">
        <f t="shared" si="53"/>
        <v>0</v>
      </c>
      <c r="X165" s="30">
        <f t="shared" si="53"/>
        <v>0</v>
      </c>
      <c r="Y165" s="30">
        <f t="shared" si="53"/>
        <v>4.0000000000000001E-3</v>
      </c>
      <c r="Z165" s="30">
        <f t="shared" si="53"/>
        <v>0.40899999999999997</v>
      </c>
      <c r="AA165" s="30">
        <f t="shared" si="53"/>
        <v>4.0000000000000001E-3</v>
      </c>
      <c r="AB165" s="30">
        <f t="shared" si="53"/>
        <v>0.40899999999999997</v>
      </c>
      <c r="AC165" s="30">
        <f t="shared" si="53"/>
        <v>6.0000000000000001E-3</v>
      </c>
      <c r="AD165" s="30">
        <f t="shared" si="53"/>
        <v>0.30599999999999999</v>
      </c>
      <c r="AE165" s="31"/>
      <c r="AF165" s="30">
        <f>SUM(AF166:AF182)-AF169-AF166</f>
        <v>6.3999999999999994E-3</v>
      </c>
      <c r="AG165" s="30">
        <f>SUM(AG166:AG182)</f>
        <v>0.56400000000000006</v>
      </c>
      <c r="AH165" s="30">
        <f t="shared" ref="AH165:AL165" si="54">SUM(AH166:AH182)</f>
        <v>0.87799999999999989</v>
      </c>
      <c r="AI165" s="30">
        <f t="shared" si="54"/>
        <v>0.17699999999999999</v>
      </c>
      <c r="AJ165" s="30">
        <f t="shared" si="54"/>
        <v>0.71399999999999997</v>
      </c>
      <c r="AK165" s="30">
        <f t="shared" si="54"/>
        <v>0.192</v>
      </c>
      <c r="AL165" s="30">
        <f t="shared" si="54"/>
        <v>2.5269999999999997</v>
      </c>
      <c r="AM165" s="30"/>
      <c r="AN165" s="30">
        <v>0.13500000000000001</v>
      </c>
      <c r="AO165" s="30">
        <v>246.85</v>
      </c>
      <c r="AP165" s="44">
        <v>0.13547999999999999</v>
      </c>
      <c r="AQ165" s="48">
        <v>49.75</v>
      </c>
    </row>
    <row r="166" spans="1:43" s="8" customFormat="1">
      <c r="A166" s="37" t="s">
        <v>138</v>
      </c>
      <c r="B166" s="1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>
        <v>1.2E-2</v>
      </c>
      <c r="R166" s="6">
        <v>21.94</v>
      </c>
      <c r="S166" s="6" t="e">
        <f>#REF!+#REF!</f>
        <v>#REF!</v>
      </c>
      <c r="T166" s="6" t="e">
        <f>#REF!+#REF!</f>
        <v>#REF!</v>
      </c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4">
        <f t="shared" ref="AI166:AI169" si="55">ROUND((AH166)*0.202,3)</f>
        <v>0</v>
      </c>
      <c r="AJ166" s="21">
        <f t="shared" ref="AJ166:AJ169" si="56">ROUND((AH166)*1.0457,3)</f>
        <v>0</v>
      </c>
      <c r="AK166" s="6"/>
      <c r="AL166" s="10">
        <f t="shared" ref="AL166:AL169" si="57">SUM(AG166:AK166)</f>
        <v>0</v>
      </c>
      <c r="AM166" s="10"/>
      <c r="AN166" s="6">
        <v>1.2E-2</v>
      </c>
      <c r="AO166" s="6">
        <v>21.94</v>
      </c>
      <c r="AP166" s="6">
        <v>1.17E-2</v>
      </c>
      <c r="AQ166" s="6">
        <v>4.0860000000000003</v>
      </c>
    </row>
    <row r="167" spans="1:43" s="8" customFormat="1">
      <c r="A167" s="37" t="s">
        <v>139</v>
      </c>
      <c r="B167" s="1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4"/>
      <c r="N167" s="21"/>
      <c r="O167" s="6"/>
      <c r="P167" s="10"/>
      <c r="Q167" s="6"/>
      <c r="R167" s="6"/>
      <c r="S167" s="6"/>
      <c r="T167" s="10"/>
      <c r="U167" s="6"/>
      <c r="V167" s="6"/>
      <c r="W167" s="6"/>
      <c r="X167" s="10"/>
      <c r="Y167" s="6"/>
      <c r="Z167" s="10"/>
      <c r="AA167" s="6"/>
      <c r="AB167" s="10"/>
      <c r="AC167" s="6"/>
      <c r="AD167" s="10"/>
      <c r="AE167" s="6"/>
      <c r="AF167" s="6"/>
      <c r="AG167" s="6"/>
      <c r="AH167" s="6"/>
      <c r="AI167" s="4"/>
      <c r="AJ167" s="21"/>
      <c r="AK167" s="6"/>
      <c r="AL167" s="10"/>
      <c r="AM167" s="10"/>
      <c r="AN167" s="6">
        <v>8.0000000000000002E-3</v>
      </c>
      <c r="AO167" s="6">
        <v>14.63</v>
      </c>
      <c r="AP167" s="20">
        <v>6.5199999999999998E-3</v>
      </c>
      <c r="AQ167" s="10">
        <v>2.7330000000000001</v>
      </c>
    </row>
    <row r="168" spans="1:43" s="3" customFormat="1">
      <c r="A168" s="37" t="s">
        <v>120</v>
      </c>
      <c r="B168" s="14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4"/>
      <c r="N168" s="21"/>
      <c r="O168" s="6"/>
      <c r="P168" s="10"/>
      <c r="Q168" s="6"/>
      <c r="R168" s="6"/>
      <c r="S168" s="6"/>
      <c r="T168" s="10"/>
      <c r="U168" s="6"/>
      <c r="V168" s="6"/>
      <c r="W168" s="6"/>
      <c r="X168" s="10"/>
      <c r="Y168" s="6">
        <v>4.0000000000000001E-3</v>
      </c>
      <c r="Z168" s="10">
        <v>0.40899999999999997</v>
      </c>
      <c r="AA168" s="6">
        <v>4.0000000000000001E-3</v>
      </c>
      <c r="AB168" s="10">
        <v>0.40899999999999997</v>
      </c>
      <c r="AC168" s="6"/>
      <c r="AD168" s="10"/>
      <c r="AE168" s="6"/>
      <c r="AF168" s="6">
        <v>4.3E-3</v>
      </c>
      <c r="AG168" s="6">
        <v>0.44400000000000001</v>
      </c>
      <c r="AH168" s="6">
        <v>0.59</v>
      </c>
      <c r="AI168" s="4">
        <f t="shared" si="55"/>
        <v>0.11899999999999999</v>
      </c>
      <c r="AJ168" s="21">
        <f>ROUND((AH168)*0.8138,3)</f>
        <v>0.48</v>
      </c>
      <c r="AK168" s="6">
        <v>0.129</v>
      </c>
      <c r="AL168" s="10">
        <f>SUM(AG168:AK168)+0.001</f>
        <v>1.7629999999999999</v>
      </c>
      <c r="AM168" s="10"/>
      <c r="AN168" s="6">
        <v>0</v>
      </c>
      <c r="AO168" s="6">
        <v>0</v>
      </c>
      <c r="AP168" s="6">
        <f>AF168</f>
        <v>4.3E-3</v>
      </c>
      <c r="AQ168" s="10">
        <f>AL168</f>
        <v>1.7629999999999999</v>
      </c>
    </row>
    <row r="169" spans="1:43" s="8" customFormat="1">
      <c r="A169" s="37" t="s">
        <v>132</v>
      </c>
      <c r="B169" s="14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4"/>
      <c r="N169" s="21"/>
      <c r="O169" s="6"/>
      <c r="P169" s="10"/>
      <c r="Q169" s="6">
        <v>0.02</v>
      </c>
      <c r="R169" s="6">
        <v>36.58</v>
      </c>
      <c r="S169" s="6" t="e">
        <f>#REF!+#REF!</f>
        <v>#REF!</v>
      </c>
      <c r="T169" s="6" t="e">
        <f>#REF!+#REF!</f>
        <v>#REF!</v>
      </c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4">
        <f t="shared" si="55"/>
        <v>0</v>
      </c>
      <c r="AJ169" s="21">
        <f t="shared" si="56"/>
        <v>0</v>
      </c>
      <c r="AK169" s="6"/>
      <c r="AL169" s="10">
        <f t="shared" si="57"/>
        <v>0</v>
      </c>
      <c r="AM169" s="10"/>
      <c r="AN169" s="6">
        <v>0.02</v>
      </c>
      <c r="AO169" s="6">
        <v>36.58</v>
      </c>
      <c r="AP169" s="29">
        <v>4.0599999999999997E-2</v>
      </c>
      <c r="AQ169" s="10">
        <v>15.946</v>
      </c>
    </row>
    <row r="170" spans="1:43" s="8" customFormat="1">
      <c r="A170" s="37" t="s">
        <v>140</v>
      </c>
      <c r="B170" s="14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4"/>
      <c r="N170" s="21"/>
      <c r="O170" s="6"/>
      <c r="P170" s="10"/>
      <c r="Q170" s="6"/>
      <c r="R170" s="6"/>
      <c r="S170" s="6"/>
      <c r="T170" s="10"/>
      <c r="U170" s="6"/>
      <c r="V170" s="6"/>
      <c r="W170" s="6"/>
      <c r="X170" s="10"/>
      <c r="Y170" s="6"/>
      <c r="Z170" s="10"/>
      <c r="AA170" s="6"/>
      <c r="AB170" s="10"/>
      <c r="AC170" s="6"/>
      <c r="AD170" s="10"/>
      <c r="AE170" s="6"/>
      <c r="AF170" s="6"/>
      <c r="AG170" s="6"/>
      <c r="AH170" s="6"/>
      <c r="AI170" s="4"/>
      <c r="AJ170" s="21"/>
      <c r="AK170" s="6"/>
      <c r="AL170" s="10"/>
      <c r="AM170" s="10"/>
      <c r="AN170" s="6">
        <v>5.0000000000000001E-3</v>
      </c>
      <c r="AO170" s="6">
        <v>9.14</v>
      </c>
      <c r="AP170" s="6">
        <v>1.17E-2</v>
      </c>
      <c r="AQ170" s="6">
        <v>4.3739999999999997</v>
      </c>
    </row>
    <row r="171" spans="1:43" s="3" customFormat="1">
      <c r="A171" s="37" t="s">
        <v>133</v>
      </c>
      <c r="B171" s="14"/>
      <c r="C171" s="6"/>
      <c r="D171" s="6"/>
      <c r="E171" s="6">
        <v>7.5199999999999998E-3</v>
      </c>
      <c r="F171" s="6">
        <v>3.0739999999999998</v>
      </c>
      <c r="G171" s="6"/>
      <c r="H171" s="6"/>
      <c r="I171" s="6"/>
      <c r="J171" s="6"/>
      <c r="K171" s="6">
        <v>0.57199999999999995</v>
      </c>
      <c r="L171" s="6">
        <v>1.1020000000000001</v>
      </c>
      <c r="M171" s="4">
        <f>ROUND((L171)*0.202,3)</f>
        <v>0.223</v>
      </c>
      <c r="N171" s="21">
        <f>ROUND((L171)*1.0457,3)</f>
        <v>1.1519999999999999</v>
      </c>
      <c r="O171" s="6">
        <v>0.28100000000000003</v>
      </c>
      <c r="P171" s="10">
        <f>SUM(K171:O171)</f>
        <v>3.33</v>
      </c>
      <c r="Q171" s="6">
        <v>5.0000000000000001E-3</v>
      </c>
      <c r="R171" s="6">
        <v>9.14</v>
      </c>
      <c r="S171" s="6">
        <f>I171+E171</f>
        <v>7.5199999999999998E-3</v>
      </c>
      <c r="T171" s="10">
        <f>P171</f>
        <v>3.33</v>
      </c>
      <c r="U171" s="6"/>
      <c r="V171" s="6"/>
      <c r="W171" s="6"/>
      <c r="X171" s="10"/>
      <c r="Y171" s="6"/>
      <c r="Z171" s="10"/>
      <c r="AA171" s="6"/>
      <c r="AB171" s="10"/>
      <c r="AC171" s="6"/>
      <c r="AD171" s="10"/>
      <c r="AE171" s="6"/>
      <c r="AF171" s="6"/>
      <c r="AG171" s="6"/>
      <c r="AH171" s="6"/>
      <c r="AI171" s="4">
        <f t="shared" ref="AI171:AI173" si="58">ROUND((AH171)*0.202,3)</f>
        <v>0</v>
      </c>
      <c r="AJ171" s="21">
        <f t="shared" ref="AJ171:AJ177" si="59">ROUND((AH171)*0.8138,3)</f>
        <v>0</v>
      </c>
      <c r="AK171" s="6"/>
      <c r="AL171" s="10">
        <f t="shared" ref="AL171:AL182" si="60">SUM(AG171:AK171)</f>
        <v>0</v>
      </c>
      <c r="AM171" s="10"/>
      <c r="AN171" s="6">
        <v>5.0000000000000001E-3</v>
      </c>
      <c r="AO171" s="6">
        <v>9.14</v>
      </c>
      <c r="AP171" s="6">
        <f>S171</f>
        <v>7.5199999999999998E-3</v>
      </c>
      <c r="AQ171" s="10">
        <f>T171</f>
        <v>3.33</v>
      </c>
    </row>
    <row r="172" spans="1:43" s="3" customFormat="1">
      <c r="A172" s="37" t="s">
        <v>141</v>
      </c>
      <c r="B172" s="14"/>
      <c r="C172" s="6"/>
      <c r="D172" s="6"/>
      <c r="E172" s="6"/>
      <c r="F172" s="6"/>
      <c r="G172" s="6"/>
      <c r="H172" s="6"/>
      <c r="I172" s="6">
        <v>5.3E-3</v>
      </c>
      <c r="J172" s="6">
        <v>1.6859999999999999</v>
      </c>
      <c r="K172" s="6">
        <v>6.3E-2</v>
      </c>
      <c r="L172" s="6">
        <v>0.72799999999999998</v>
      </c>
      <c r="M172" s="4">
        <f>ROUND((L172)*0.202,3)</f>
        <v>0.14699999999999999</v>
      </c>
      <c r="N172" s="21">
        <f>ROUND((L172)*1.0457,3)</f>
        <v>0.76100000000000001</v>
      </c>
      <c r="O172" s="6">
        <v>0.156</v>
      </c>
      <c r="P172" s="10">
        <f>SUM(K172:O172)</f>
        <v>1.8549999999999998</v>
      </c>
      <c r="Q172" s="6"/>
      <c r="R172" s="6"/>
      <c r="S172" s="6">
        <f>I172+E172</f>
        <v>5.3E-3</v>
      </c>
      <c r="T172" s="10">
        <f>P172</f>
        <v>1.8549999999999998</v>
      </c>
      <c r="U172" s="6"/>
      <c r="V172" s="6"/>
      <c r="W172" s="6"/>
      <c r="X172" s="10"/>
      <c r="Y172" s="6"/>
      <c r="Z172" s="10"/>
      <c r="AA172" s="6"/>
      <c r="AB172" s="10"/>
      <c r="AC172" s="6"/>
      <c r="AD172" s="10"/>
      <c r="AE172" s="6"/>
      <c r="AF172" s="6"/>
      <c r="AG172" s="6"/>
      <c r="AH172" s="6"/>
      <c r="AI172" s="4">
        <f t="shared" si="58"/>
        <v>0</v>
      </c>
      <c r="AJ172" s="21">
        <f t="shared" si="59"/>
        <v>0</v>
      </c>
      <c r="AK172" s="6"/>
      <c r="AL172" s="10">
        <f t="shared" si="60"/>
        <v>0</v>
      </c>
      <c r="AM172" s="10"/>
      <c r="AN172" s="6">
        <v>5.0000000000000001E-3</v>
      </c>
      <c r="AO172" s="6">
        <v>9.14</v>
      </c>
      <c r="AP172" s="6">
        <f t="shared" ref="AP172:AQ182" si="61">S172</f>
        <v>5.3E-3</v>
      </c>
      <c r="AQ172" s="10">
        <f t="shared" si="61"/>
        <v>1.8549999999999998</v>
      </c>
    </row>
    <row r="173" spans="1:43" s="3" customFormat="1">
      <c r="A173" s="37" t="s">
        <v>122</v>
      </c>
      <c r="B173" s="14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4"/>
      <c r="N173" s="21"/>
      <c r="O173" s="6"/>
      <c r="P173" s="10"/>
      <c r="Q173" s="6"/>
      <c r="R173" s="6"/>
      <c r="S173" s="6"/>
      <c r="T173" s="10"/>
      <c r="U173" s="6"/>
      <c r="V173" s="6"/>
      <c r="W173" s="6"/>
      <c r="X173" s="10"/>
      <c r="Y173" s="6"/>
      <c r="Z173" s="10"/>
      <c r="AA173" s="6"/>
      <c r="AB173" s="10"/>
      <c r="AC173" s="6">
        <v>2E-3</v>
      </c>
      <c r="AD173" s="10">
        <v>0.30599999999999999</v>
      </c>
      <c r="AE173" s="6"/>
      <c r="AF173" s="6">
        <v>2.0999999999999999E-3</v>
      </c>
      <c r="AG173" s="6">
        <v>0.12</v>
      </c>
      <c r="AH173" s="6">
        <v>0.28799999999999998</v>
      </c>
      <c r="AI173" s="4">
        <f t="shared" si="58"/>
        <v>5.8000000000000003E-2</v>
      </c>
      <c r="AJ173" s="21">
        <f t="shared" si="59"/>
        <v>0.23400000000000001</v>
      </c>
      <c r="AK173" s="6">
        <v>6.3E-2</v>
      </c>
      <c r="AL173" s="10">
        <f>SUM(AG173:AK173)+0.001</f>
        <v>0.7639999999999999</v>
      </c>
      <c r="AM173" s="10"/>
      <c r="AN173" s="6">
        <v>0</v>
      </c>
      <c r="AO173" s="6">
        <v>0</v>
      </c>
      <c r="AP173" s="6">
        <f>AF173</f>
        <v>2.0999999999999999E-3</v>
      </c>
      <c r="AQ173" s="10">
        <f>AL173</f>
        <v>0.7639999999999999</v>
      </c>
    </row>
    <row r="174" spans="1:43" s="3" customFormat="1">
      <c r="A174" s="37" t="s">
        <v>48</v>
      </c>
      <c r="B174" s="14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4"/>
      <c r="N174" s="21"/>
      <c r="O174" s="6"/>
      <c r="P174" s="10"/>
      <c r="Q174" s="6"/>
      <c r="R174" s="6"/>
      <c r="S174" s="6"/>
      <c r="T174" s="10"/>
      <c r="U174" s="6"/>
      <c r="V174" s="6"/>
      <c r="W174" s="6"/>
      <c r="X174" s="10"/>
      <c r="Y174" s="6"/>
      <c r="Z174" s="10"/>
      <c r="AA174" s="6"/>
      <c r="AB174" s="10"/>
      <c r="AC174" s="6"/>
      <c r="AD174" s="10"/>
      <c r="AE174" s="6"/>
      <c r="AF174" s="6"/>
      <c r="AG174" s="6"/>
      <c r="AH174" s="6"/>
      <c r="AI174" s="4"/>
      <c r="AJ174" s="21">
        <f t="shared" si="59"/>
        <v>0</v>
      </c>
      <c r="AK174" s="6"/>
      <c r="AL174" s="10">
        <f t="shared" si="60"/>
        <v>0</v>
      </c>
      <c r="AM174" s="10"/>
      <c r="AN174" s="6">
        <v>0.01</v>
      </c>
      <c r="AO174" s="6">
        <v>18.29</v>
      </c>
      <c r="AP174" s="6">
        <v>0</v>
      </c>
      <c r="AQ174" s="26">
        <v>0</v>
      </c>
    </row>
    <row r="175" spans="1:43" s="3" customFormat="1">
      <c r="A175" s="37" t="s">
        <v>143</v>
      </c>
      <c r="B175" s="14"/>
      <c r="C175" s="6"/>
      <c r="D175" s="6"/>
      <c r="E175" s="6">
        <v>3.2000000000000002E-3</v>
      </c>
      <c r="F175" s="6">
        <v>1.0089999999999999</v>
      </c>
      <c r="G175" s="6"/>
      <c r="H175" s="6"/>
      <c r="I175" s="6"/>
      <c r="J175" s="6"/>
      <c r="K175" s="6">
        <v>2.9000000000000001E-2</v>
      </c>
      <c r="L175" s="6">
        <v>0.439</v>
      </c>
      <c r="M175" s="4">
        <f>ROUND((L175)*0.202,3)</f>
        <v>8.8999999999999996E-2</v>
      </c>
      <c r="N175" s="21">
        <f>ROUND((L175)*1.0457,3)</f>
        <v>0.45900000000000002</v>
      </c>
      <c r="O175" s="6">
        <v>9.4E-2</v>
      </c>
      <c r="P175" s="10">
        <f>SUM(K175:O175)</f>
        <v>1.1100000000000001</v>
      </c>
      <c r="Q175" s="6"/>
      <c r="R175" s="6"/>
      <c r="S175" s="6">
        <f>I175+E175</f>
        <v>3.2000000000000002E-3</v>
      </c>
      <c r="T175" s="10">
        <f>P175</f>
        <v>1.1100000000000001</v>
      </c>
      <c r="U175" s="6"/>
      <c r="V175" s="6"/>
      <c r="W175" s="6"/>
      <c r="X175" s="10"/>
      <c r="Y175" s="6"/>
      <c r="Z175" s="10"/>
      <c r="AA175" s="6"/>
      <c r="AB175" s="10"/>
      <c r="AC175" s="6"/>
      <c r="AD175" s="10"/>
      <c r="AE175" s="6"/>
      <c r="AF175" s="6"/>
      <c r="AG175" s="6"/>
      <c r="AH175" s="6"/>
      <c r="AI175" s="4">
        <f t="shared" ref="AI175:AI182" si="62">ROUND((AH175)*0.202,3)</f>
        <v>0</v>
      </c>
      <c r="AJ175" s="21">
        <f t="shared" si="59"/>
        <v>0</v>
      </c>
      <c r="AK175" s="6"/>
      <c r="AL175" s="10">
        <f t="shared" si="60"/>
        <v>0</v>
      </c>
      <c r="AM175" s="10"/>
      <c r="AN175" s="6">
        <v>6.0000000000000001E-3</v>
      </c>
      <c r="AO175" s="6">
        <v>10.97</v>
      </c>
      <c r="AP175" s="6">
        <f t="shared" si="61"/>
        <v>3.2000000000000002E-3</v>
      </c>
      <c r="AQ175" s="10">
        <f t="shared" si="61"/>
        <v>1.1100000000000001</v>
      </c>
    </row>
    <row r="176" spans="1:43" s="8" customFormat="1">
      <c r="A176" s="37" t="s">
        <v>135</v>
      </c>
      <c r="B176" s="14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4">
        <f>ROUND((L176)*0.202,3)</f>
        <v>0</v>
      </c>
      <c r="N176" s="21">
        <f>ROUND((L176)*1.0457,3)</f>
        <v>0</v>
      </c>
      <c r="O176" s="6"/>
      <c r="P176" s="10">
        <f>SUM(K176:O176)</f>
        <v>0</v>
      </c>
      <c r="Q176" s="6"/>
      <c r="R176" s="6"/>
      <c r="S176" s="6">
        <f>I176+E176</f>
        <v>0</v>
      </c>
      <c r="T176" s="10">
        <f>P176</f>
        <v>0</v>
      </c>
      <c r="U176" s="6"/>
      <c r="V176" s="6"/>
      <c r="W176" s="6"/>
      <c r="X176" s="10"/>
      <c r="Y176" s="6"/>
      <c r="Z176" s="10"/>
      <c r="AA176" s="6"/>
      <c r="AB176" s="10"/>
      <c r="AC176" s="6"/>
      <c r="AD176" s="10"/>
      <c r="AE176" s="6"/>
      <c r="AF176" s="6"/>
      <c r="AG176" s="6"/>
      <c r="AH176" s="6"/>
      <c r="AI176" s="4">
        <f t="shared" si="62"/>
        <v>0</v>
      </c>
      <c r="AJ176" s="21">
        <f t="shared" si="59"/>
        <v>0</v>
      </c>
      <c r="AK176" s="6"/>
      <c r="AL176" s="10">
        <f t="shared" si="60"/>
        <v>0</v>
      </c>
      <c r="AM176" s="10"/>
      <c r="AN176" s="6">
        <v>5.0000000000000001E-3</v>
      </c>
      <c r="AO176" s="6">
        <v>9.14</v>
      </c>
      <c r="AP176" s="6">
        <v>1.702E-2</v>
      </c>
      <c r="AQ176" s="6">
        <v>4.9059999999999997</v>
      </c>
    </row>
    <row r="177" spans="1:43">
      <c r="A177" s="40" t="s">
        <v>125</v>
      </c>
      <c r="B177" s="14"/>
      <c r="C177" s="6"/>
      <c r="D177" s="6"/>
      <c r="E177" s="6">
        <v>1.1199999999999999E-3</v>
      </c>
      <c r="F177" s="6">
        <v>0.64200000000000002</v>
      </c>
      <c r="G177" s="6"/>
      <c r="H177" s="6"/>
      <c r="I177" s="6"/>
      <c r="J177" s="6"/>
      <c r="K177" s="6">
        <v>0.03</v>
      </c>
      <c r="L177" s="6">
        <v>0.24099999999999999</v>
      </c>
      <c r="M177" s="4">
        <f>ROUND((L177)*0.202,3)</f>
        <v>4.9000000000000002E-2</v>
      </c>
      <c r="N177" s="21">
        <f>ROUND((L177)*1.0457,3)</f>
        <v>0.252</v>
      </c>
      <c r="O177" s="6">
        <v>0.125</v>
      </c>
      <c r="P177" s="10">
        <f>SUM(K177:O177)</f>
        <v>0.69700000000000006</v>
      </c>
      <c r="Q177" s="6"/>
      <c r="R177" s="6"/>
      <c r="S177" s="6">
        <f>I177+E177</f>
        <v>1.1199999999999999E-3</v>
      </c>
      <c r="T177" s="10">
        <f>P177</f>
        <v>0.69700000000000006</v>
      </c>
      <c r="U177" s="6"/>
      <c r="V177" s="6"/>
      <c r="W177" s="6"/>
      <c r="X177" s="10"/>
      <c r="Y177" s="6"/>
      <c r="Z177" s="10"/>
      <c r="AA177" s="6"/>
      <c r="AB177" s="10"/>
      <c r="AC177" s="6"/>
      <c r="AD177" s="10"/>
      <c r="AE177" s="19"/>
      <c r="AF177" s="6"/>
      <c r="AG177" s="6"/>
      <c r="AH177" s="6"/>
      <c r="AI177" s="4">
        <f t="shared" si="62"/>
        <v>0</v>
      </c>
      <c r="AJ177" s="21">
        <f t="shared" si="59"/>
        <v>0</v>
      </c>
      <c r="AK177" s="6"/>
      <c r="AL177" s="10">
        <f t="shared" si="60"/>
        <v>0</v>
      </c>
      <c r="AM177" s="10"/>
      <c r="AN177" s="6">
        <v>3.5000000000000003E-2</v>
      </c>
      <c r="AO177" s="6">
        <v>64</v>
      </c>
      <c r="AP177" s="6">
        <f t="shared" si="61"/>
        <v>1.1199999999999999E-3</v>
      </c>
      <c r="AQ177" s="10">
        <f t="shared" si="61"/>
        <v>0.69700000000000006</v>
      </c>
    </row>
    <row r="178" spans="1:43" s="9" customFormat="1">
      <c r="A178" s="40" t="s">
        <v>128</v>
      </c>
      <c r="B178" s="14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4"/>
      <c r="N178" s="21"/>
      <c r="O178" s="6"/>
      <c r="P178" s="10"/>
      <c r="Q178" s="6"/>
      <c r="R178" s="6"/>
      <c r="S178" s="6"/>
      <c r="T178" s="10"/>
      <c r="U178" s="6"/>
      <c r="V178" s="6"/>
      <c r="W178" s="6"/>
      <c r="X178" s="10"/>
      <c r="Y178" s="6"/>
      <c r="Z178" s="10"/>
      <c r="AA178" s="6"/>
      <c r="AB178" s="10"/>
      <c r="AC178" s="6"/>
      <c r="AD178" s="10"/>
      <c r="AE178" s="19"/>
      <c r="AF178" s="6"/>
      <c r="AG178" s="6"/>
      <c r="AH178" s="6"/>
      <c r="AI178" s="4"/>
      <c r="AJ178" s="21"/>
      <c r="AK178" s="6"/>
      <c r="AL178" s="10"/>
      <c r="AM178" s="10"/>
      <c r="AN178" s="6">
        <v>1.2E-2</v>
      </c>
      <c r="AO178" s="6">
        <v>21.94</v>
      </c>
      <c r="AP178" s="6">
        <v>1.83E-2</v>
      </c>
      <c r="AQ178" s="6">
        <v>7.32</v>
      </c>
    </row>
    <row r="179" spans="1:43">
      <c r="A179" s="37" t="s">
        <v>53</v>
      </c>
      <c r="B179" s="14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4">
        <f>ROUND((L179)*0.202,3)</f>
        <v>0</v>
      </c>
      <c r="N179" s="21">
        <f>ROUND((L179)*1.0457,3)</f>
        <v>0</v>
      </c>
      <c r="O179" s="6"/>
      <c r="P179" s="10">
        <f>SUM(K179:O179)</f>
        <v>0</v>
      </c>
      <c r="Q179" s="6"/>
      <c r="R179" s="6"/>
      <c r="S179" s="6">
        <f>I179+E179</f>
        <v>0</v>
      </c>
      <c r="T179" s="10">
        <f>P179</f>
        <v>0</v>
      </c>
      <c r="U179" s="6"/>
      <c r="V179" s="6"/>
      <c r="W179" s="6"/>
      <c r="X179" s="10"/>
      <c r="Y179" s="6"/>
      <c r="Z179" s="10"/>
      <c r="AA179" s="6"/>
      <c r="AB179" s="10"/>
      <c r="AC179" s="6"/>
      <c r="AD179" s="10"/>
      <c r="AE179" s="19"/>
      <c r="AF179" s="6"/>
      <c r="AG179" s="6"/>
      <c r="AH179" s="6"/>
      <c r="AI179" s="4">
        <f t="shared" si="62"/>
        <v>0</v>
      </c>
      <c r="AJ179" s="21">
        <f t="shared" ref="AJ179:AJ182" si="63">ROUND((AH179)*1.0457,3)</f>
        <v>0</v>
      </c>
      <c r="AK179" s="6"/>
      <c r="AL179" s="10">
        <f t="shared" si="60"/>
        <v>0</v>
      </c>
      <c r="AM179" s="10"/>
      <c r="AN179" s="6">
        <v>7.0000000000000001E-3</v>
      </c>
      <c r="AO179" s="6">
        <v>12.8</v>
      </c>
      <c r="AP179" s="6">
        <v>0</v>
      </c>
      <c r="AQ179" s="26">
        <v>0</v>
      </c>
    </row>
    <row r="180" spans="1:43">
      <c r="A180" s="37" t="s">
        <v>65</v>
      </c>
      <c r="B180" s="14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4">
        <f>ROUND((L180)*0.202,3)</f>
        <v>0</v>
      </c>
      <c r="N180" s="21">
        <f>ROUND((L180)*1.0457,3)</f>
        <v>0</v>
      </c>
      <c r="O180" s="6"/>
      <c r="P180" s="10">
        <f>SUM(K180:O180)</f>
        <v>0</v>
      </c>
      <c r="Q180" s="6"/>
      <c r="R180" s="6"/>
      <c r="S180" s="6">
        <f>I180+E180</f>
        <v>0</v>
      </c>
      <c r="T180" s="10">
        <f>P180</f>
        <v>0</v>
      </c>
      <c r="U180" s="6"/>
      <c r="V180" s="6"/>
      <c r="W180" s="6"/>
      <c r="X180" s="10"/>
      <c r="Y180" s="6"/>
      <c r="Z180" s="10"/>
      <c r="AA180" s="6"/>
      <c r="AB180" s="10"/>
      <c r="AC180" s="6"/>
      <c r="AD180" s="10"/>
      <c r="AE180" s="19"/>
      <c r="AF180" s="6"/>
      <c r="AG180" s="6"/>
      <c r="AH180" s="6"/>
      <c r="AI180" s="4">
        <f t="shared" si="62"/>
        <v>0</v>
      </c>
      <c r="AJ180" s="21">
        <f t="shared" si="63"/>
        <v>0</v>
      </c>
      <c r="AK180" s="6"/>
      <c r="AL180" s="10">
        <f t="shared" si="60"/>
        <v>0</v>
      </c>
      <c r="AM180" s="10"/>
      <c r="AN180" s="6">
        <v>5.0000000000000001E-3</v>
      </c>
      <c r="AO180" s="6">
        <v>9.14</v>
      </c>
      <c r="AP180" s="6">
        <v>0</v>
      </c>
      <c r="AQ180" s="26">
        <v>0</v>
      </c>
    </row>
    <row r="181" spans="1:43">
      <c r="A181" s="37" t="s">
        <v>136</v>
      </c>
      <c r="B181" s="1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4"/>
      <c r="N181" s="21"/>
      <c r="O181" s="6"/>
      <c r="P181" s="10"/>
      <c r="Q181" s="6"/>
      <c r="R181" s="6"/>
      <c r="S181" s="6"/>
      <c r="T181" s="10"/>
      <c r="U181" s="6"/>
      <c r="V181" s="6"/>
      <c r="W181" s="6"/>
      <c r="X181" s="10"/>
      <c r="Y181" s="6"/>
      <c r="Z181" s="10"/>
      <c r="AA181" s="6"/>
      <c r="AB181" s="10"/>
      <c r="AC181" s="6">
        <v>4.0000000000000001E-3</v>
      </c>
      <c r="AD181" s="10" t="s">
        <v>39</v>
      </c>
      <c r="AE181" s="19"/>
      <c r="AF181" s="6"/>
      <c r="AG181" s="6"/>
      <c r="AH181" s="6"/>
      <c r="AI181" s="4"/>
      <c r="AJ181" s="21"/>
      <c r="AK181" s="6"/>
      <c r="AL181" s="10"/>
      <c r="AM181" s="10"/>
      <c r="AN181" s="6">
        <v>0</v>
      </c>
      <c r="AO181" s="6">
        <v>0</v>
      </c>
      <c r="AP181" s="6">
        <f>AC181</f>
        <v>4.0000000000000001E-3</v>
      </c>
      <c r="AQ181" s="10">
        <v>0.15</v>
      </c>
    </row>
    <row r="182" spans="1:43">
      <c r="A182" s="37" t="s">
        <v>76</v>
      </c>
      <c r="B182" s="14"/>
      <c r="C182" s="6"/>
      <c r="D182" s="6"/>
      <c r="E182" s="6"/>
      <c r="F182" s="6"/>
      <c r="G182" s="6"/>
      <c r="H182" s="6"/>
      <c r="I182" s="6">
        <v>2.0999999999999999E-3</v>
      </c>
      <c r="J182" s="6">
        <v>0.65</v>
      </c>
      <c r="K182" s="6">
        <v>7.0000000000000001E-3</v>
      </c>
      <c r="L182" s="6">
        <v>0.28799999999999998</v>
      </c>
      <c r="M182" s="4">
        <f>ROUND((L182)*0.202,3)</f>
        <v>5.8000000000000003E-2</v>
      </c>
      <c r="N182" s="21">
        <f>ROUND((L182)*1.0457,3)</f>
        <v>0.30099999999999999</v>
      </c>
      <c r="O182" s="6">
        <v>6.2E-2</v>
      </c>
      <c r="P182" s="10">
        <f>SUM(K182:O182)</f>
        <v>0.71599999999999997</v>
      </c>
      <c r="Q182" s="6"/>
      <c r="R182" s="6"/>
      <c r="S182" s="6">
        <f>I182+E182</f>
        <v>2.0999999999999999E-3</v>
      </c>
      <c r="T182" s="10">
        <f>P182</f>
        <v>0.71599999999999997</v>
      </c>
      <c r="U182" s="6"/>
      <c r="V182" s="6"/>
      <c r="W182" s="6"/>
      <c r="X182" s="10"/>
      <c r="Y182" s="6"/>
      <c r="Z182" s="10"/>
      <c r="AA182" s="6"/>
      <c r="AB182" s="10"/>
      <c r="AC182" s="6"/>
      <c r="AD182" s="10"/>
      <c r="AE182" s="19"/>
      <c r="AF182" s="6"/>
      <c r="AG182" s="6"/>
      <c r="AH182" s="6"/>
      <c r="AI182" s="4">
        <f t="shared" si="62"/>
        <v>0</v>
      </c>
      <c r="AJ182" s="21">
        <f t="shared" si="63"/>
        <v>0</v>
      </c>
      <c r="AK182" s="6"/>
      <c r="AL182" s="10">
        <f t="shared" si="60"/>
        <v>0</v>
      </c>
      <c r="AM182" s="10"/>
      <c r="AN182" s="6">
        <v>0</v>
      </c>
      <c r="AO182" s="6">
        <v>0</v>
      </c>
      <c r="AP182" s="6">
        <f t="shared" si="61"/>
        <v>2.0999999999999999E-3</v>
      </c>
      <c r="AQ182" s="10">
        <f t="shared" si="61"/>
        <v>0.71599999999999997</v>
      </c>
    </row>
    <row r="183" spans="1:43">
      <c r="A183" s="39" t="s">
        <v>66</v>
      </c>
      <c r="B183" s="33" t="s">
        <v>20</v>
      </c>
      <c r="C183" s="30">
        <v>21</v>
      </c>
      <c r="D183" s="49">
        <v>365.76</v>
      </c>
      <c r="E183" s="30">
        <f>SUM(E184:E212)</f>
        <v>21</v>
      </c>
      <c r="F183" s="44">
        <f>SUM(F184:F212)</f>
        <v>108.23800000000001</v>
      </c>
      <c r="G183" s="30">
        <v>21</v>
      </c>
      <c r="H183" s="49">
        <v>365.76</v>
      </c>
      <c r="I183" s="30">
        <f>SUM(I184:I212)</f>
        <v>0</v>
      </c>
      <c r="J183" s="30">
        <f>SUM(J184:J212)</f>
        <v>235.30000000000004</v>
      </c>
      <c r="K183" s="30"/>
      <c r="L183" s="30"/>
      <c r="M183" s="30"/>
      <c r="N183" s="30"/>
      <c r="O183" s="30"/>
      <c r="P183" s="30"/>
      <c r="Q183" s="30">
        <f>13+8+8</f>
        <v>29</v>
      </c>
      <c r="R183" s="49">
        <f>217.26+148.5+301.24</f>
        <v>667</v>
      </c>
      <c r="S183" s="30">
        <f>SUM(S184:S212)</f>
        <v>21</v>
      </c>
      <c r="T183" s="44">
        <f>SUM(T184:T212)</f>
        <v>343.53800000000007</v>
      </c>
      <c r="U183" s="30"/>
      <c r="V183" s="30"/>
      <c r="W183" s="30">
        <f t="shared" ref="W183:AB183" si="64">SUM(W184:W212)</f>
        <v>5</v>
      </c>
      <c r="X183" s="44">
        <f t="shared" si="64"/>
        <v>0.25</v>
      </c>
      <c r="Y183" s="30">
        <f t="shared" si="64"/>
        <v>0</v>
      </c>
      <c r="Z183" s="44">
        <f t="shared" si="64"/>
        <v>0</v>
      </c>
      <c r="AA183" s="30">
        <f t="shared" si="64"/>
        <v>0</v>
      </c>
      <c r="AB183" s="44">
        <f t="shared" si="64"/>
        <v>0</v>
      </c>
      <c r="AC183" s="30">
        <f>SUM(AC184:AC212)</f>
        <v>0</v>
      </c>
      <c r="AD183" s="44">
        <f>SUM(AD184:AD212)</f>
        <v>0</v>
      </c>
      <c r="AE183" s="31"/>
      <c r="AF183" s="30">
        <f>SUM(AF184:AF212)</f>
        <v>0</v>
      </c>
      <c r="AG183" s="30"/>
      <c r="AH183" s="30"/>
      <c r="AI183" s="30"/>
      <c r="AJ183" s="30"/>
      <c r="AK183" s="30"/>
      <c r="AL183" s="30"/>
      <c r="AM183" s="30"/>
      <c r="AN183" s="30">
        <f>13+8+8</f>
        <v>29</v>
      </c>
      <c r="AO183" s="49">
        <v>667</v>
      </c>
      <c r="AP183" s="30">
        <f>SUM(AP184:AP212)</f>
        <v>26</v>
      </c>
      <c r="AQ183" s="44">
        <f>SUM(AQ184:AQ212)</f>
        <v>445.90166000000011</v>
      </c>
    </row>
    <row r="184" spans="1:43">
      <c r="A184" s="37" t="s">
        <v>21</v>
      </c>
      <c r="B184" s="14"/>
      <c r="C184" s="6"/>
      <c r="D184" s="6"/>
      <c r="E184" s="6">
        <v>1</v>
      </c>
      <c r="F184" s="10">
        <f t="shared" ref="F184:F209" si="65">J184/5*2.3</f>
        <v>2.4053399999999998</v>
      </c>
      <c r="G184" s="6"/>
      <c r="H184" s="6"/>
      <c r="I184" s="6"/>
      <c r="J184" s="6">
        <v>5.2290000000000001</v>
      </c>
      <c r="K184" s="6"/>
      <c r="L184" s="6"/>
      <c r="M184" s="6"/>
      <c r="N184" s="6"/>
      <c r="O184" s="6"/>
      <c r="P184" s="6"/>
      <c r="Q184" s="6">
        <v>1</v>
      </c>
      <c r="R184" s="6">
        <v>10.46</v>
      </c>
      <c r="S184" s="6">
        <f t="shared" ref="S184:T187" si="66">I184+E184</f>
        <v>1</v>
      </c>
      <c r="T184" s="10">
        <f t="shared" si="66"/>
        <v>7.6343399999999999</v>
      </c>
      <c r="U184" s="6">
        <f>R184</f>
        <v>10.46</v>
      </c>
      <c r="V184" s="6"/>
      <c r="W184" s="6"/>
      <c r="X184" s="10"/>
      <c r="Y184" s="6"/>
      <c r="Z184" s="10"/>
      <c r="AA184" s="6"/>
      <c r="AB184" s="10"/>
      <c r="AC184" s="6"/>
      <c r="AD184" s="10"/>
      <c r="AE184" s="19"/>
      <c r="AF184" s="6"/>
      <c r="AG184" s="6"/>
      <c r="AH184" s="6"/>
      <c r="AI184" s="6"/>
      <c r="AJ184" s="6"/>
      <c r="AK184" s="6"/>
      <c r="AL184" s="6"/>
      <c r="AM184" s="6"/>
      <c r="AN184" s="6">
        <v>1</v>
      </c>
      <c r="AO184" s="6">
        <v>10.46</v>
      </c>
      <c r="AP184" s="6">
        <f t="shared" ref="AP184:AQ209" si="67">S184</f>
        <v>1</v>
      </c>
      <c r="AQ184" s="10">
        <f>T184</f>
        <v>7.6343399999999999</v>
      </c>
    </row>
    <row r="185" spans="1:43">
      <c r="A185" s="37" t="s">
        <v>43</v>
      </c>
      <c r="B185" s="14"/>
      <c r="C185" s="6"/>
      <c r="D185" s="6"/>
      <c r="E185" s="6">
        <v>1</v>
      </c>
      <c r="F185" s="10">
        <f t="shared" si="65"/>
        <v>8.0177999999999994</v>
      </c>
      <c r="G185" s="6"/>
      <c r="H185" s="6"/>
      <c r="I185" s="6"/>
      <c r="J185" s="6">
        <v>17.43</v>
      </c>
      <c r="K185" s="6"/>
      <c r="L185" s="6"/>
      <c r="M185" s="6"/>
      <c r="N185" s="6"/>
      <c r="O185" s="6"/>
      <c r="P185" s="6"/>
      <c r="Q185" s="6">
        <v>1</v>
      </c>
      <c r="R185" s="6">
        <v>10.55</v>
      </c>
      <c r="S185" s="6">
        <f t="shared" si="66"/>
        <v>1</v>
      </c>
      <c r="T185" s="10">
        <f t="shared" si="66"/>
        <v>25.447800000000001</v>
      </c>
      <c r="U185" s="6">
        <f>R185</f>
        <v>10.55</v>
      </c>
      <c r="V185" s="6"/>
      <c r="W185" s="6"/>
      <c r="X185" s="10"/>
      <c r="Y185" s="6"/>
      <c r="Z185" s="10"/>
      <c r="AA185" s="6"/>
      <c r="AB185" s="10"/>
      <c r="AC185" s="6"/>
      <c r="AD185" s="10"/>
      <c r="AE185" s="19"/>
      <c r="AF185" s="6"/>
      <c r="AG185" s="6"/>
      <c r="AH185" s="6"/>
      <c r="AI185" s="6"/>
      <c r="AJ185" s="6"/>
      <c r="AK185" s="6"/>
      <c r="AL185" s="6"/>
      <c r="AM185" s="6"/>
      <c r="AN185" s="6">
        <v>1</v>
      </c>
      <c r="AO185" s="6">
        <v>10.55</v>
      </c>
      <c r="AP185" s="6">
        <f t="shared" si="67"/>
        <v>1</v>
      </c>
      <c r="AQ185" s="10">
        <f t="shared" si="67"/>
        <v>25.447800000000001</v>
      </c>
    </row>
    <row r="186" spans="1:43">
      <c r="A186" s="37" t="s">
        <v>22</v>
      </c>
      <c r="B186" s="14"/>
      <c r="C186" s="6"/>
      <c r="D186" s="6"/>
      <c r="E186" s="6">
        <v>1</v>
      </c>
      <c r="F186" s="10">
        <f t="shared" si="65"/>
        <v>4.0088999999999997</v>
      </c>
      <c r="G186" s="6"/>
      <c r="H186" s="6"/>
      <c r="I186" s="6"/>
      <c r="J186" s="6">
        <v>8.7149999999999999</v>
      </c>
      <c r="K186" s="6"/>
      <c r="L186" s="6"/>
      <c r="M186" s="6"/>
      <c r="N186" s="6"/>
      <c r="O186" s="6"/>
      <c r="P186" s="6"/>
      <c r="Q186" s="6">
        <v>1</v>
      </c>
      <c r="R186" s="6">
        <v>14.93</v>
      </c>
      <c r="S186" s="6">
        <f t="shared" si="66"/>
        <v>1</v>
      </c>
      <c r="T186" s="10">
        <f t="shared" si="66"/>
        <v>12.7239</v>
      </c>
      <c r="U186" s="6">
        <f>R186</f>
        <v>14.93</v>
      </c>
      <c r="V186" s="6"/>
      <c r="W186" s="6"/>
      <c r="X186" s="10"/>
      <c r="Y186" s="6"/>
      <c r="Z186" s="10"/>
      <c r="AA186" s="6"/>
      <c r="AB186" s="10"/>
      <c r="AC186" s="6"/>
      <c r="AD186" s="10"/>
      <c r="AE186" s="19"/>
      <c r="AF186" s="6"/>
      <c r="AG186" s="6"/>
      <c r="AH186" s="6"/>
      <c r="AI186" s="6"/>
      <c r="AJ186" s="6"/>
      <c r="AK186" s="6"/>
      <c r="AL186" s="6"/>
      <c r="AM186" s="6"/>
      <c r="AN186" s="6">
        <v>1</v>
      </c>
      <c r="AO186" s="6">
        <v>14.93</v>
      </c>
      <c r="AP186" s="6">
        <f t="shared" si="67"/>
        <v>1</v>
      </c>
      <c r="AQ186" s="10">
        <f t="shared" si="67"/>
        <v>12.7239</v>
      </c>
    </row>
    <row r="187" spans="1:43">
      <c r="A187" s="37" t="s">
        <v>44</v>
      </c>
      <c r="B187" s="14"/>
      <c r="C187" s="6"/>
      <c r="D187" s="6"/>
      <c r="E187" s="6">
        <v>1</v>
      </c>
      <c r="F187" s="10">
        <f t="shared" si="65"/>
        <v>8.0177999999999994</v>
      </c>
      <c r="G187" s="6"/>
      <c r="H187" s="6"/>
      <c r="I187" s="6"/>
      <c r="J187" s="6">
        <v>17.43</v>
      </c>
      <c r="K187" s="6"/>
      <c r="L187" s="6"/>
      <c r="M187" s="6"/>
      <c r="N187" s="6"/>
      <c r="O187" s="6"/>
      <c r="P187" s="6"/>
      <c r="Q187" s="6">
        <v>1</v>
      </c>
      <c r="R187" s="6">
        <v>29.35</v>
      </c>
      <c r="S187" s="6">
        <f t="shared" si="66"/>
        <v>1</v>
      </c>
      <c r="T187" s="10">
        <f t="shared" si="66"/>
        <v>25.447800000000001</v>
      </c>
      <c r="U187" s="6">
        <f>R187</f>
        <v>29.35</v>
      </c>
      <c r="V187" s="6"/>
      <c r="W187" s="6"/>
      <c r="X187" s="10"/>
      <c r="Y187" s="6"/>
      <c r="Z187" s="10"/>
      <c r="AA187" s="6"/>
      <c r="AB187" s="10"/>
      <c r="AC187" s="6"/>
      <c r="AD187" s="10"/>
      <c r="AE187" s="19"/>
      <c r="AF187" s="6"/>
      <c r="AG187" s="6"/>
      <c r="AH187" s="6"/>
      <c r="AI187" s="6"/>
      <c r="AJ187" s="6"/>
      <c r="AK187" s="6"/>
      <c r="AL187" s="6"/>
      <c r="AM187" s="6"/>
      <c r="AN187" s="6">
        <v>1</v>
      </c>
      <c r="AO187" s="6">
        <v>29.35</v>
      </c>
      <c r="AP187" s="6">
        <f t="shared" si="67"/>
        <v>1</v>
      </c>
      <c r="AQ187" s="10">
        <f t="shared" si="67"/>
        <v>25.447800000000001</v>
      </c>
    </row>
    <row r="188" spans="1:43">
      <c r="A188" s="37" t="s">
        <v>36</v>
      </c>
      <c r="B188" s="14"/>
      <c r="C188" s="6"/>
      <c r="D188" s="6"/>
      <c r="E188" s="6"/>
      <c r="F188" s="10">
        <f t="shared" si="65"/>
        <v>0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>
        <v>1</v>
      </c>
      <c r="R188" s="6">
        <v>189.15</v>
      </c>
      <c r="S188" s="6"/>
      <c r="T188" s="10"/>
      <c r="U188" s="6"/>
      <c r="V188" s="6"/>
      <c r="W188" s="6"/>
      <c r="X188" s="10"/>
      <c r="Y188" s="6"/>
      <c r="Z188" s="10"/>
      <c r="AA188" s="6"/>
      <c r="AB188" s="10"/>
      <c r="AC188" s="6"/>
      <c r="AD188" s="10"/>
      <c r="AE188" s="19"/>
      <c r="AF188" s="6"/>
      <c r="AG188" s="6"/>
      <c r="AH188" s="6"/>
      <c r="AI188" s="6"/>
      <c r="AJ188" s="6"/>
      <c r="AK188" s="6"/>
      <c r="AL188" s="6"/>
      <c r="AM188" s="6"/>
      <c r="AN188" s="6">
        <v>1</v>
      </c>
      <c r="AO188" s="6">
        <v>189.15</v>
      </c>
      <c r="AP188" s="6">
        <v>1</v>
      </c>
      <c r="AQ188" s="10">
        <v>107.24</v>
      </c>
    </row>
    <row r="189" spans="1:43">
      <c r="A189" s="37" t="s">
        <v>37</v>
      </c>
      <c r="B189" s="14"/>
      <c r="C189" s="6"/>
      <c r="D189" s="6"/>
      <c r="E189" s="6">
        <v>1</v>
      </c>
      <c r="F189" s="10">
        <f t="shared" si="65"/>
        <v>4.0088999999999997</v>
      </c>
      <c r="G189" s="6"/>
      <c r="H189" s="6"/>
      <c r="I189" s="6"/>
      <c r="J189" s="6">
        <v>8.7149999999999999</v>
      </c>
      <c r="K189" s="6"/>
      <c r="L189" s="6"/>
      <c r="M189" s="6"/>
      <c r="N189" s="6"/>
      <c r="O189" s="6"/>
      <c r="P189" s="6"/>
      <c r="Q189" s="6">
        <v>1</v>
      </c>
      <c r="R189" s="6">
        <v>14.85</v>
      </c>
      <c r="S189" s="6">
        <f>I189+E189</f>
        <v>1</v>
      </c>
      <c r="T189" s="10">
        <f>J189+F189</f>
        <v>12.7239</v>
      </c>
      <c r="U189" s="6">
        <f>R189</f>
        <v>14.85</v>
      </c>
      <c r="V189" s="6"/>
      <c r="W189" s="6"/>
      <c r="X189" s="10"/>
      <c r="Y189" s="6"/>
      <c r="Z189" s="10"/>
      <c r="AA189" s="6"/>
      <c r="AB189" s="10"/>
      <c r="AC189" s="6"/>
      <c r="AD189" s="10"/>
      <c r="AE189" s="19"/>
      <c r="AF189" s="6"/>
      <c r="AG189" s="6"/>
      <c r="AH189" s="6"/>
      <c r="AI189" s="6"/>
      <c r="AJ189" s="6"/>
      <c r="AK189" s="6"/>
      <c r="AL189" s="6"/>
      <c r="AM189" s="6"/>
      <c r="AN189" s="6">
        <v>1</v>
      </c>
      <c r="AO189" s="6">
        <v>14.85</v>
      </c>
      <c r="AP189" s="6">
        <f t="shared" si="67"/>
        <v>1</v>
      </c>
      <c r="AQ189" s="10">
        <f t="shared" si="67"/>
        <v>12.7239</v>
      </c>
    </row>
    <row r="190" spans="1:43">
      <c r="A190" s="37" t="s">
        <v>23</v>
      </c>
      <c r="B190" s="14"/>
      <c r="C190" s="6"/>
      <c r="D190" s="6"/>
      <c r="E190" s="6">
        <v>1</v>
      </c>
      <c r="F190" s="10">
        <f t="shared" si="65"/>
        <v>4.0088999999999997</v>
      </c>
      <c r="G190" s="6"/>
      <c r="H190" s="6"/>
      <c r="I190" s="6"/>
      <c r="J190" s="6">
        <v>8.7149999999999999</v>
      </c>
      <c r="K190" s="6"/>
      <c r="L190" s="6"/>
      <c r="M190" s="6"/>
      <c r="N190" s="6"/>
      <c r="O190" s="6"/>
      <c r="P190" s="6"/>
      <c r="Q190" s="6">
        <v>1</v>
      </c>
      <c r="R190" s="6">
        <v>14.93</v>
      </c>
      <c r="S190" s="6">
        <f>I190+E190</f>
        <v>1</v>
      </c>
      <c r="T190" s="10">
        <f>J190+F190</f>
        <v>12.7239</v>
      </c>
      <c r="U190" s="6">
        <f>R190</f>
        <v>14.93</v>
      </c>
      <c r="V190" s="6"/>
      <c r="W190" s="6"/>
      <c r="X190" s="10"/>
      <c r="Y190" s="6"/>
      <c r="Z190" s="10"/>
      <c r="AA190" s="6"/>
      <c r="AB190" s="10"/>
      <c r="AC190" s="6"/>
      <c r="AD190" s="10"/>
      <c r="AE190" s="19"/>
      <c r="AF190" s="6"/>
      <c r="AG190" s="6"/>
      <c r="AH190" s="6"/>
      <c r="AI190" s="6"/>
      <c r="AJ190" s="6"/>
      <c r="AK190" s="6"/>
      <c r="AL190" s="6"/>
      <c r="AM190" s="6"/>
      <c r="AN190" s="6">
        <v>1</v>
      </c>
      <c r="AO190" s="6">
        <v>14.93</v>
      </c>
      <c r="AP190" s="6">
        <f t="shared" si="67"/>
        <v>1</v>
      </c>
      <c r="AQ190" s="10">
        <f t="shared" si="67"/>
        <v>12.7239</v>
      </c>
    </row>
    <row r="191" spans="1:43">
      <c r="A191" s="37" t="s">
        <v>38</v>
      </c>
      <c r="B191" s="14"/>
      <c r="C191" s="6"/>
      <c r="D191" s="6"/>
      <c r="E191" s="6"/>
      <c r="F191" s="10">
        <f t="shared" si="65"/>
        <v>0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>
        <v>1</v>
      </c>
      <c r="R191" s="6">
        <v>32.86</v>
      </c>
      <c r="S191" s="6"/>
      <c r="T191" s="10"/>
      <c r="U191" s="6"/>
      <c r="V191" s="6"/>
      <c r="W191" s="6"/>
      <c r="X191" s="10"/>
      <c r="Y191" s="6"/>
      <c r="Z191" s="10"/>
      <c r="AA191" s="6"/>
      <c r="AB191" s="10"/>
      <c r="AC191" s="6"/>
      <c r="AD191" s="10"/>
      <c r="AE191" s="19"/>
      <c r="AF191" s="6"/>
      <c r="AG191" s="6"/>
      <c r="AH191" s="6"/>
      <c r="AI191" s="6"/>
      <c r="AJ191" s="6"/>
      <c r="AK191" s="6"/>
      <c r="AL191" s="6"/>
      <c r="AM191" s="6"/>
      <c r="AN191" s="6">
        <v>1</v>
      </c>
      <c r="AO191" s="6">
        <v>32.86</v>
      </c>
      <c r="AP191" s="6">
        <v>0</v>
      </c>
      <c r="AQ191" s="10">
        <v>0</v>
      </c>
    </row>
    <row r="192" spans="1:43">
      <c r="A192" s="37" t="s">
        <v>45</v>
      </c>
      <c r="B192" s="14"/>
      <c r="C192" s="6"/>
      <c r="D192" s="6"/>
      <c r="E192" s="6">
        <v>1</v>
      </c>
      <c r="F192" s="10">
        <f t="shared" si="65"/>
        <v>4.0088999999999997</v>
      </c>
      <c r="G192" s="6"/>
      <c r="H192" s="6"/>
      <c r="I192" s="6"/>
      <c r="J192" s="6">
        <v>8.7149999999999999</v>
      </c>
      <c r="K192" s="6"/>
      <c r="L192" s="6"/>
      <c r="M192" s="6"/>
      <c r="N192" s="6"/>
      <c r="O192" s="6"/>
      <c r="P192" s="6"/>
      <c r="Q192" s="6">
        <v>1</v>
      </c>
      <c r="R192" s="6">
        <v>10.32</v>
      </c>
      <c r="S192" s="6">
        <f t="shared" ref="S192:T199" si="68">I192+E192</f>
        <v>1</v>
      </c>
      <c r="T192" s="10">
        <f t="shared" si="68"/>
        <v>12.7239</v>
      </c>
      <c r="U192" s="6">
        <f t="shared" ref="U192:U199" si="69">R192</f>
        <v>10.32</v>
      </c>
      <c r="V192" s="6"/>
      <c r="W192" s="6"/>
      <c r="X192" s="10"/>
      <c r="Y192" s="6"/>
      <c r="Z192" s="10"/>
      <c r="AA192" s="6"/>
      <c r="AB192" s="10"/>
      <c r="AC192" s="6"/>
      <c r="AD192" s="10"/>
      <c r="AE192" s="19"/>
      <c r="AF192" s="6"/>
      <c r="AG192" s="6"/>
      <c r="AH192" s="6"/>
      <c r="AI192" s="6"/>
      <c r="AJ192" s="6"/>
      <c r="AK192" s="6"/>
      <c r="AL192" s="6"/>
      <c r="AM192" s="6"/>
      <c r="AN192" s="6">
        <v>1</v>
      </c>
      <c r="AO192" s="6">
        <v>10.32</v>
      </c>
      <c r="AP192" s="6">
        <f t="shared" si="67"/>
        <v>1</v>
      </c>
      <c r="AQ192" s="10">
        <f t="shared" si="67"/>
        <v>12.7239</v>
      </c>
    </row>
    <row r="193" spans="1:43">
      <c r="A193" s="37" t="s">
        <v>46</v>
      </c>
      <c r="B193" s="14"/>
      <c r="C193" s="6"/>
      <c r="D193" s="6"/>
      <c r="E193" s="6">
        <v>1</v>
      </c>
      <c r="F193" s="10">
        <f t="shared" si="65"/>
        <v>5.6119999999999992</v>
      </c>
      <c r="G193" s="6"/>
      <c r="H193" s="6"/>
      <c r="I193" s="6"/>
      <c r="J193" s="6">
        <v>12.2</v>
      </c>
      <c r="K193" s="6"/>
      <c r="L193" s="6"/>
      <c r="M193" s="6"/>
      <c r="N193" s="6"/>
      <c r="O193" s="6"/>
      <c r="P193" s="6"/>
      <c r="Q193" s="6">
        <v>1</v>
      </c>
      <c r="R193" s="6">
        <v>19.170000000000002</v>
      </c>
      <c r="S193" s="6">
        <f t="shared" si="68"/>
        <v>1</v>
      </c>
      <c r="T193" s="10">
        <f t="shared" si="68"/>
        <v>17.811999999999998</v>
      </c>
      <c r="U193" s="6">
        <f t="shared" si="69"/>
        <v>19.170000000000002</v>
      </c>
      <c r="V193" s="6"/>
      <c r="W193" s="6"/>
      <c r="X193" s="10"/>
      <c r="Y193" s="6"/>
      <c r="Z193" s="10"/>
      <c r="AA193" s="6"/>
      <c r="AB193" s="10"/>
      <c r="AC193" s="6"/>
      <c r="AD193" s="10"/>
      <c r="AE193" s="19"/>
      <c r="AF193" s="6"/>
      <c r="AG193" s="6"/>
      <c r="AH193" s="6"/>
      <c r="AI193" s="6"/>
      <c r="AJ193" s="6"/>
      <c r="AK193" s="6"/>
      <c r="AL193" s="6"/>
      <c r="AM193" s="6"/>
      <c r="AN193" s="6">
        <v>1</v>
      </c>
      <c r="AO193" s="6">
        <v>19.170000000000002</v>
      </c>
      <c r="AP193" s="6">
        <f t="shared" si="67"/>
        <v>1</v>
      </c>
      <c r="AQ193" s="10">
        <f t="shared" si="67"/>
        <v>17.811999999999998</v>
      </c>
    </row>
    <row r="194" spans="1:43">
      <c r="A194" s="37" t="s">
        <v>24</v>
      </c>
      <c r="B194" s="14"/>
      <c r="C194" s="6"/>
      <c r="D194" s="6"/>
      <c r="E194" s="6">
        <v>1</v>
      </c>
      <c r="F194" s="10">
        <f t="shared" si="65"/>
        <v>2.4053399999999998</v>
      </c>
      <c r="G194" s="6"/>
      <c r="H194" s="6"/>
      <c r="I194" s="6"/>
      <c r="J194" s="6">
        <v>5.2290000000000001</v>
      </c>
      <c r="K194" s="6"/>
      <c r="L194" s="6"/>
      <c r="M194" s="6"/>
      <c r="N194" s="6"/>
      <c r="O194" s="6"/>
      <c r="P194" s="6"/>
      <c r="Q194" s="6">
        <v>1</v>
      </c>
      <c r="R194" s="6">
        <v>10.35</v>
      </c>
      <c r="S194" s="6">
        <f t="shared" si="68"/>
        <v>1</v>
      </c>
      <c r="T194" s="10">
        <f t="shared" si="68"/>
        <v>7.6343399999999999</v>
      </c>
      <c r="U194" s="6">
        <f t="shared" si="69"/>
        <v>10.35</v>
      </c>
      <c r="V194" s="6"/>
      <c r="W194" s="6"/>
      <c r="X194" s="10"/>
      <c r="Y194" s="6"/>
      <c r="Z194" s="10"/>
      <c r="AA194" s="6"/>
      <c r="AB194" s="10"/>
      <c r="AC194" s="6"/>
      <c r="AD194" s="10"/>
      <c r="AE194" s="19"/>
      <c r="AF194" s="6"/>
      <c r="AG194" s="6"/>
      <c r="AH194" s="6"/>
      <c r="AI194" s="6"/>
      <c r="AJ194" s="6"/>
      <c r="AK194" s="6"/>
      <c r="AL194" s="6"/>
      <c r="AM194" s="6"/>
      <c r="AN194" s="6">
        <v>1</v>
      </c>
      <c r="AO194" s="6">
        <v>10.35</v>
      </c>
      <c r="AP194" s="6">
        <f t="shared" si="67"/>
        <v>1</v>
      </c>
      <c r="AQ194" s="10">
        <f t="shared" si="67"/>
        <v>7.6343399999999999</v>
      </c>
    </row>
    <row r="195" spans="1:43">
      <c r="A195" s="37" t="s">
        <v>47</v>
      </c>
      <c r="B195" s="14"/>
      <c r="C195" s="6"/>
      <c r="D195" s="6"/>
      <c r="E195" s="6">
        <v>1</v>
      </c>
      <c r="F195" s="10">
        <f t="shared" si="65"/>
        <v>4.0088999999999997</v>
      </c>
      <c r="G195" s="6"/>
      <c r="H195" s="6"/>
      <c r="I195" s="6"/>
      <c r="J195" s="6">
        <v>8.7149999999999999</v>
      </c>
      <c r="K195" s="6"/>
      <c r="L195" s="6"/>
      <c r="M195" s="6"/>
      <c r="N195" s="6"/>
      <c r="O195" s="6"/>
      <c r="P195" s="6"/>
      <c r="Q195" s="6">
        <v>1</v>
      </c>
      <c r="R195" s="6">
        <v>10.119999999999999</v>
      </c>
      <c r="S195" s="6">
        <f t="shared" si="68"/>
        <v>1</v>
      </c>
      <c r="T195" s="10">
        <f t="shared" si="68"/>
        <v>12.7239</v>
      </c>
      <c r="U195" s="6">
        <f t="shared" si="69"/>
        <v>10.119999999999999</v>
      </c>
      <c r="V195" s="6"/>
      <c r="W195" s="6"/>
      <c r="X195" s="10"/>
      <c r="Y195" s="6"/>
      <c r="Z195" s="10"/>
      <c r="AA195" s="6"/>
      <c r="AB195" s="10"/>
      <c r="AC195" s="6"/>
      <c r="AD195" s="10"/>
      <c r="AE195" s="19"/>
      <c r="AF195" s="6"/>
      <c r="AG195" s="6"/>
      <c r="AH195" s="6"/>
      <c r="AI195" s="6"/>
      <c r="AJ195" s="6"/>
      <c r="AK195" s="6"/>
      <c r="AL195" s="6"/>
      <c r="AM195" s="6"/>
      <c r="AN195" s="6">
        <v>1</v>
      </c>
      <c r="AO195" s="6">
        <v>10.119999999999999</v>
      </c>
      <c r="AP195" s="6">
        <f t="shared" si="67"/>
        <v>1</v>
      </c>
      <c r="AQ195" s="10">
        <f t="shared" si="67"/>
        <v>12.7239</v>
      </c>
    </row>
    <row r="196" spans="1:43">
      <c r="A196" s="37" t="s">
        <v>40</v>
      </c>
      <c r="B196" s="14"/>
      <c r="C196" s="6"/>
      <c r="D196" s="6"/>
      <c r="E196" s="6">
        <v>1</v>
      </c>
      <c r="F196" s="10">
        <f t="shared" si="65"/>
        <v>4.0088999999999997</v>
      </c>
      <c r="G196" s="6"/>
      <c r="H196" s="6"/>
      <c r="I196" s="6"/>
      <c r="J196" s="6">
        <v>8.7149999999999999</v>
      </c>
      <c r="K196" s="6"/>
      <c r="L196" s="6"/>
      <c r="M196" s="6"/>
      <c r="N196" s="6"/>
      <c r="O196" s="6"/>
      <c r="P196" s="6"/>
      <c r="Q196" s="6">
        <v>1</v>
      </c>
      <c r="R196" s="6">
        <v>10.1</v>
      </c>
      <c r="S196" s="6">
        <f t="shared" si="68"/>
        <v>1</v>
      </c>
      <c r="T196" s="10">
        <f t="shared" si="68"/>
        <v>12.7239</v>
      </c>
      <c r="U196" s="6">
        <f t="shared" si="69"/>
        <v>10.1</v>
      </c>
      <c r="V196" s="6"/>
      <c r="W196" s="6"/>
      <c r="X196" s="10"/>
      <c r="Y196" s="6"/>
      <c r="Z196" s="10"/>
      <c r="AA196" s="6"/>
      <c r="AB196" s="10"/>
      <c r="AC196" s="6"/>
      <c r="AD196" s="10"/>
      <c r="AE196" s="19"/>
      <c r="AF196" s="6"/>
      <c r="AG196" s="6"/>
      <c r="AH196" s="6"/>
      <c r="AI196" s="6"/>
      <c r="AJ196" s="6"/>
      <c r="AK196" s="6"/>
      <c r="AL196" s="6"/>
      <c r="AM196" s="6"/>
      <c r="AN196" s="6">
        <v>1</v>
      </c>
      <c r="AO196" s="6">
        <v>10.1</v>
      </c>
      <c r="AP196" s="6">
        <f t="shared" si="67"/>
        <v>1</v>
      </c>
      <c r="AQ196" s="10">
        <f t="shared" si="67"/>
        <v>12.7239</v>
      </c>
    </row>
    <row r="197" spans="1:43">
      <c r="A197" s="37" t="s">
        <v>48</v>
      </c>
      <c r="B197" s="14"/>
      <c r="C197" s="6"/>
      <c r="D197" s="6"/>
      <c r="E197" s="6">
        <v>1</v>
      </c>
      <c r="F197" s="10">
        <f t="shared" si="65"/>
        <v>2.4053399999999998</v>
      </c>
      <c r="G197" s="6"/>
      <c r="H197" s="6"/>
      <c r="I197" s="6"/>
      <c r="J197" s="6">
        <v>5.2290000000000001</v>
      </c>
      <c r="K197" s="6"/>
      <c r="L197" s="6"/>
      <c r="M197" s="6"/>
      <c r="N197" s="6"/>
      <c r="O197" s="6"/>
      <c r="P197" s="6"/>
      <c r="Q197" s="6">
        <v>1</v>
      </c>
      <c r="R197" s="6">
        <v>9.68</v>
      </c>
      <c r="S197" s="6">
        <f t="shared" si="68"/>
        <v>1</v>
      </c>
      <c r="T197" s="10">
        <f t="shared" si="68"/>
        <v>7.6343399999999999</v>
      </c>
      <c r="U197" s="6">
        <f t="shared" si="69"/>
        <v>9.68</v>
      </c>
      <c r="V197" s="6"/>
      <c r="W197" s="6"/>
      <c r="X197" s="10"/>
      <c r="Y197" s="6"/>
      <c r="Z197" s="10"/>
      <c r="AA197" s="6"/>
      <c r="AB197" s="10"/>
      <c r="AC197" s="6"/>
      <c r="AD197" s="10"/>
      <c r="AE197" s="19"/>
      <c r="AF197" s="6"/>
      <c r="AG197" s="6"/>
      <c r="AH197" s="6"/>
      <c r="AI197" s="6"/>
      <c r="AJ197" s="6"/>
      <c r="AK197" s="6"/>
      <c r="AL197" s="6"/>
      <c r="AM197" s="6"/>
      <c r="AN197" s="6">
        <v>1</v>
      </c>
      <c r="AO197" s="6">
        <v>9.68</v>
      </c>
      <c r="AP197" s="6">
        <f t="shared" si="67"/>
        <v>1</v>
      </c>
      <c r="AQ197" s="10">
        <f t="shared" si="67"/>
        <v>7.6343399999999999</v>
      </c>
    </row>
    <row r="198" spans="1:43">
      <c r="A198" s="37" t="s">
        <v>41</v>
      </c>
      <c r="B198" s="14"/>
      <c r="C198" s="6"/>
      <c r="D198" s="6"/>
      <c r="E198" s="6">
        <v>1</v>
      </c>
      <c r="F198" s="10">
        <f t="shared" si="65"/>
        <v>2.4053399999999998</v>
      </c>
      <c r="G198" s="6"/>
      <c r="H198" s="6"/>
      <c r="I198" s="6"/>
      <c r="J198" s="6">
        <v>5.2290000000000001</v>
      </c>
      <c r="K198" s="6"/>
      <c r="L198" s="6"/>
      <c r="M198" s="6"/>
      <c r="N198" s="6"/>
      <c r="O198" s="6"/>
      <c r="P198" s="6"/>
      <c r="Q198" s="6">
        <v>1</v>
      </c>
      <c r="R198" s="6">
        <v>9.56</v>
      </c>
      <c r="S198" s="6">
        <f t="shared" si="68"/>
        <v>1</v>
      </c>
      <c r="T198" s="10">
        <f t="shared" si="68"/>
        <v>7.6343399999999999</v>
      </c>
      <c r="U198" s="6">
        <f t="shared" si="69"/>
        <v>9.56</v>
      </c>
      <c r="V198" s="6"/>
      <c r="W198" s="6"/>
      <c r="X198" s="10"/>
      <c r="Y198" s="6"/>
      <c r="Z198" s="10"/>
      <c r="AA198" s="6"/>
      <c r="AB198" s="10"/>
      <c r="AC198" s="6"/>
      <c r="AD198" s="10"/>
      <c r="AE198" s="19"/>
      <c r="AF198" s="6"/>
      <c r="AG198" s="6"/>
      <c r="AH198" s="6"/>
      <c r="AI198" s="6"/>
      <c r="AJ198" s="6"/>
      <c r="AK198" s="6"/>
      <c r="AL198" s="6"/>
      <c r="AM198" s="6"/>
      <c r="AN198" s="6">
        <v>1</v>
      </c>
      <c r="AO198" s="6">
        <v>9.56</v>
      </c>
      <c r="AP198" s="6">
        <f t="shared" si="67"/>
        <v>1</v>
      </c>
      <c r="AQ198" s="10">
        <f t="shared" si="67"/>
        <v>7.6343399999999999</v>
      </c>
    </row>
    <row r="199" spans="1:43">
      <c r="A199" s="37" t="s">
        <v>49</v>
      </c>
      <c r="B199" s="14"/>
      <c r="C199" s="6"/>
      <c r="D199" s="6"/>
      <c r="E199" s="6">
        <v>1</v>
      </c>
      <c r="F199" s="10">
        <f t="shared" si="65"/>
        <v>2.4053399999999998</v>
      </c>
      <c r="G199" s="6"/>
      <c r="H199" s="6"/>
      <c r="I199" s="6"/>
      <c r="J199" s="6">
        <v>5.2290000000000001</v>
      </c>
      <c r="K199" s="6"/>
      <c r="L199" s="6"/>
      <c r="M199" s="6"/>
      <c r="N199" s="6"/>
      <c r="O199" s="6"/>
      <c r="P199" s="6"/>
      <c r="Q199" s="6">
        <v>1</v>
      </c>
      <c r="R199" s="6">
        <v>8.89</v>
      </c>
      <c r="S199" s="6">
        <f t="shared" si="68"/>
        <v>1</v>
      </c>
      <c r="T199" s="10">
        <f t="shared" si="68"/>
        <v>7.6343399999999999</v>
      </c>
      <c r="U199" s="6">
        <f t="shared" si="69"/>
        <v>8.89</v>
      </c>
      <c r="V199" s="6"/>
      <c r="W199" s="6"/>
      <c r="X199" s="10"/>
      <c r="Y199" s="6"/>
      <c r="Z199" s="10"/>
      <c r="AA199" s="6"/>
      <c r="AB199" s="10"/>
      <c r="AC199" s="6"/>
      <c r="AD199" s="10"/>
      <c r="AE199" s="19"/>
      <c r="AF199" s="6"/>
      <c r="AG199" s="6"/>
      <c r="AH199" s="6"/>
      <c r="AI199" s="6"/>
      <c r="AJ199" s="6"/>
      <c r="AK199" s="6"/>
      <c r="AL199" s="6"/>
      <c r="AM199" s="6"/>
      <c r="AN199" s="6">
        <v>1</v>
      </c>
      <c r="AO199" s="6">
        <v>8.89</v>
      </c>
      <c r="AP199" s="6">
        <f t="shared" si="67"/>
        <v>1</v>
      </c>
      <c r="AQ199" s="10">
        <f t="shared" si="67"/>
        <v>7.6343399999999999</v>
      </c>
    </row>
    <row r="200" spans="1:43">
      <c r="A200" s="37" t="s">
        <v>50</v>
      </c>
      <c r="B200" s="14"/>
      <c r="C200" s="6"/>
      <c r="D200" s="6"/>
      <c r="E200" s="6"/>
      <c r="F200" s="10">
        <f t="shared" si="65"/>
        <v>0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>
        <v>1</v>
      </c>
      <c r="R200" s="6">
        <v>4.75</v>
      </c>
      <c r="S200" s="6"/>
      <c r="T200" s="10"/>
      <c r="U200" s="6"/>
      <c r="V200" s="6"/>
      <c r="W200" s="6">
        <v>1</v>
      </c>
      <c r="X200" s="10">
        <v>0.05</v>
      </c>
      <c r="Y200" s="6"/>
      <c r="Z200" s="10"/>
      <c r="AA200" s="6"/>
      <c r="AB200" s="10"/>
      <c r="AC200" s="6"/>
      <c r="AD200" s="10"/>
      <c r="AE200" s="19"/>
      <c r="AF200" s="6"/>
      <c r="AG200" s="6"/>
      <c r="AH200" s="6"/>
      <c r="AI200" s="6"/>
      <c r="AJ200" s="6"/>
      <c r="AK200" s="6"/>
      <c r="AL200" s="6"/>
      <c r="AM200" s="6"/>
      <c r="AN200" s="6">
        <v>1</v>
      </c>
      <c r="AO200" s="6">
        <v>4.75</v>
      </c>
      <c r="AP200" s="6">
        <v>1</v>
      </c>
      <c r="AQ200" s="10">
        <v>4.0599999999999996</v>
      </c>
    </row>
    <row r="201" spans="1:43">
      <c r="A201" s="37" t="s">
        <v>25</v>
      </c>
      <c r="B201" s="14"/>
      <c r="C201" s="6"/>
      <c r="D201" s="6"/>
      <c r="E201" s="6"/>
      <c r="F201" s="10">
        <f t="shared" si="65"/>
        <v>0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>
        <v>1</v>
      </c>
      <c r="R201" s="6">
        <v>4.8600000000000003</v>
      </c>
      <c r="S201" s="6"/>
      <c r="T201" s="10"/>
      <c r="U201" s="6"/>
      <c r="V201" s="6"/>
      <c r="W201" s="6">
        <v>1</v>
      </c>
      <c r="X201" s="10">
        <v>0.05</v>
      </c>
      <c r="Y201" s="6"/>
      <c r="Z201" s="10"/>
      <c r="AA201" s="6"/>
      <c r="AB201" s="10"/>
      <c r="AC201" s="6"/>
      <c r="AD201" s="10"/>
      <c r="AE201" s="19"/>
      <c r="AF201" s="6"/>
      <c r="AG201" s="6"/>
      <c r="AH201" s="6"/>
      <c r="AI201" s="6"/>
      <c r="AJ201" s="6"/>
      <c r="AK201" s="6"/>
      <c r="AL201" s="6"/>
      <c r="AM201" s="6"/>
      <c r="AN201" s="6">
        <v>1</v>
      </c>
      <c r="AO201" s="6">
        <v>4.8600000000000003</v>
      </c>
      <c r="AP201" s="6">
        <v>1</v>
      </c>
      <c r="AQ201" s="10">
        <v>4.0919999999999996</v>
      </c>
    </row>
    <row r="202" spans="1:43">
      <c r="A202" s="37" t="s">
        <v>51</v>
      </c>
      <c r="B202" s="14"/>
      <c r="C202" s="6"/>
      <c r="D202" s="6"/>
      <c r="E202" s="6"/>
      <c r="F202" s="10">
        <f t="shared" si="65"/>
        <v>0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>
        <v>1</v>
      </c>
      <c r="R202" s="6">
        <v>54.75</v>
      </c>
      <c r="S202" s="6"/>
      <c r="T202" s="10"/>
      <c r="U202" s="6"/>
      <c r="V202" s="6"/>
      <c r="W202" s="6"/>
      <c r="X202" s="10"/>
      <c r="Y202" s="6"/>
      <c r="Z202" s="10"/>
      <c r="AA202" s="6"/>
      <c r="AB202" s="10"/>
      <c r="AC202" s="6"/>
      <c r="AD202" s="10"/>
      <c r="AE202" s="19"/>
      <c r="AF202" s="6"/>
      <c r="AG202" s="6"/>
      <c r="AH202" s="6"/>
      <c r="AI202" s="6"/>
      <c r="AJ202" s="6"/>
      <c r="AK202" s="6"/>
      <c r="AL202" s="6"/>
      <c r="AM202" s="6"/>
      <c r="AN202" s="6">
        <v>1</v>
      </c>
      <c r="AO202" s="6">
        <v>54.75</v>
      </c>
      <c r="AP202" s="6">
        <v>0</v>
      </c>
      <c r="AQ202" s="10">
        <v>0</v>
      </c>
    </row>
    <row r="203" spans="1:43">
      <c r="A203" s="37" t="s">
        <v>52</v>
      </c>
      <c r="B203" s="14"/>
      <c r="C203" s="6"/>
      <c r="D203" s="6"/>
      <c r="E203" s="6">
        <v>1</v>
      </c>
      <c r="F203" s="10">
        <f t="shared" si="65"/>
        <v>11.224919999999999</v>
      </c>
      <c r="G203" s="6"/>
      <c r="H203" s="6"/>
      <c r="I203" s="6"/>
      <c r="J203" s="6">
        <v>24.402000000000001</v>
      </c>
      <c r="K203" s="6"/>
      <c r="L203" s="6"/>
      <c r="M203" s="6"/>
      <c r="N203" s="6"/>
      <c r="O203" s="6"/>
      <c r="P203" s="6"/>
      <c r="Q203" s="6">
        <v>1</v>
      </c>
      <c r="R203" s="6">
        <v>49.78</v>
      </c>
      <c r="S203" s="6">
        <f t="shared" ref="S203:T209" si="70">I203+E203</f>
        <v>1</v>
      </c>
      <c r="T203" s="10">
        <f t="shared" si="70"/>
        <v>35.626919999999998</v>
      </c>
      <c r="U203" s="6">
        <f t="shared" ref="U203:U209" si="71">R203</f>
        <v>49.78</v>
      </c>
      <c r="V203" s="6"/>
      <c r="W203" s="6"/>
      <c r="X203" s="10"/>
      <c r="Y203" s="6"/>
      <c r="Z203" s="10"/>
      <c r="AA203" s="6"/>
      <c r="AB203" s="10"/>
      <c r="AC203" s="6"/>
      <c r="AD203" s="10"/>
      <c r="AE203" s="19"/>
      <c r="AF203" s="6"/>
      <c r="AG203" s="6"/>
      <c r="AH203" s="6"/>
      <c r="AI203" s="6"/>
      <c r="AJ203" s="6"/>
      <c r="AK203" s="6"/>
      <c r="AL203" s="6"/>
      <c r="AM203" s="6"/>
      <c r="AN203" s="6">
        <v>1</v>
      </c>
      <c r="AO203" s="6">
        <v>49.78</v>
      </c>
      <c r="AP203" s="6">
        <f t="shared" si="67"/>
        <v>1</v>
      </c>
      <c r="AQ203" s="10">
        <f t="shared" si="67"/>
        <v>35.626919999999998</v>
      </c>
    </row>
    <row r="204" spans="1:43">
      <c r="A204" s="37" t="s">
        <v>18</v>
      </c>
      <c r="B204" s="14"/>
      <c r="C204" s="6"/>
      <c r="D204" s="6"/>
      <c r="E204" s="6">
        <v>1</v>
      </c>
      <c r="F204" s="10">
        <f t="shared" si="65"/>
        <v>8.017339999999999</v>
      </c>
      <c r="G204" s="6"/>
      <c r="H204" s="6"/>
      <c r="I204" s="6"/>
      <c r="J204" s="6">
        <v>17.428999999999998</v>
      </c>
      <c r="K204" s="6"/>
      <c r="L204" s="6"/>
      <c r="M204" s="6"/>
      <c r="N204" s="6"/>
      <c r="O204" s="6"/>
      <c r="P204" s="6"/>
      <c r="Q204" s="6">
        <v>1</v>
      </c>
      <c r="R204" s="6">
        <v>39.82</v>
      </c>
      <c r="S204" s="6">
        <f t="shared" si="70"/>
        <v>1</v>
      </c>
      <c r="T204" s="10">
        <f t="shared" si="70"/>
        <v>25.446339999999999</v>
      </c>
      <c r="U204" s="6">
        <f t="shared" si="71"/>
        <v>39.82</v>
      </c>
      <c r="V204" s="6"/>
      <c r="W204" s="6"/>
      <c r="X204" s="10"/>
      <c r="Y204" s="6"/>
      <c r="Z204" s="10"/>
      <c r="AA204" s="6"/>
      <c r="AB204" s="10"/>
      <c r="AC204" s="6"/>
      <c r="AD204" s="10"/>
      <c r="AE204" s="19"/>
      <c r="AF204" s="6"/>
      <c r="AG204" s="6"/>
      <c r="AH204" s="6"/>
      <c r="AI204" s="6"/>
      <c r="AJ204" s="6"/>
      <c r="AK204" s="6"/>
      <c r="AL204" s="6"/>
      <c r="AM204" s="6"/>
      <c r="AN204" s="6">
        <v>1</v>
      </c>
      <c r="AO204" s="6">
        <v>39.82</v>
      </c>
      <c r="AP204" s="6">
        <v>0</v>
      </c>
      <c r="AQ204" s="10">
        <v>0</v>
      </c>
    </row>
    <row r="205" spans="1:43">
      <c r="A205" s="37" t="s">
        <v>53</v>
      </c>
      <c r="B205" s="14"/>
      <c r="C205" s="6"/>
      <c r="D205" s="6"/>
      <c r="E205" s="6">
        <v>1</v>
      </c>
      <c r="F205" s="10">
        <f t="shared" si="65"/>
        <v>11.223999999999998</v>
      </c>
      <c r="G205" s="6"/>
      <c r="H205" s="6"/>
      <c r="I205" s="6"/>
      <c r="J205" s="6">
        <v>24.4</v>
      </c>
      <c r="K205" s="6"/>
      <c r="L205" s="6"/>
      <c r="M205" s="6"/>
      <c r="N205" s="6"/>
      <c r="O205" s="6"/>
      <c r="P205" s="6"/>
      <c r="Q205" s="6">
        <v>1</v>
      </c>
      <c r="R205" s="6">
        <v>28.31</v>
      </c>
      <c r="S205" s="6">
        <f t="shared" si="70"/>
        <v>1</v>
      </c>
      <c r="T205" s="10">
        <f t="shared" si="70"/>
        <v>35.623999999999995</v>
      </c>
      <c r="U205" s="6">
        <f t="shared" si="71"/>
        <v>28.31</v>
      </c>
      <c r="V205" s="6"/>
      <c r="W205" s="6"/>
      <c r="X205" s="10"/>
      <c r="Y205" s="6"/>
      <c r="Z205" s="10"/>
      <c r="AA205" s="6"/>
      <c r="AB205" s="10"/>
      <c r="AC205" s="6"/>
      <c r="AD205" s="10"/>
      <c r="AE205" s="19"/>
      <c r="AF205" s="6"/>
      <c r="AG205" s="6"/>
      <c r="AH205" s="6"/>
      <c r="AI205" s="6"/>
      <c r="AJ205" s="6"/>
      <c r="AK205" s="6"/>
      <c r="AL205" s="6"/>
      <c r="AM205" s="6"/>
      <c r="AN205" s="6">
        <v>1</v>
      </c>
      <c r="AO205" s="6">
        <v>28.31</v>
      </c>
      <c r="AP205" s="6">
        <f t="shared" si="67"/>
        <v>1</v>
      </c>
      <c r="AQ205" s="10">
        <f t="shared" si="67"/>
        <v>35.623999999999995</v>
      </c>
    </row>
    <row r="206" spans="1:43">
      <c r="A206" s="37" t="s">
        <v>54</v>
      </c>
      <c r="B206" s="14"/>
      <c r="C206" s="6"/>
      <c r="D206" s="6"/>
      <c r="E206" s="6">
        <v>1</v>
      </c>
      <c r="F206" s="10">
        <f t="shared" si="65"/>
        <v>4.0088999999999997</v>
      </c>
      <c r="G206" s="6"/>
      <c r="H206" s="6"/>
      <c r="I206" s="6"/>
      <c r="J206" s="6">
        <v>8.7149999999999999</v>
      </c>
      <c r="K206" s="6"/>
      <c r="L206" s="6"/>
      <c r="M206" s="6"/>
      <c r="N206" s="6"/>
      <c r="O206" s="6"/>
      <c r="P206" s="6"/>
      <c r="Q206" s="6">
        <v>1</v>
      </c>
      <c r="R206" s="6">
        <v>14.93</v>
      </c>
      <c r="S206" s="6">
        <f t="shared" si="70"/>
        <v>1</v>
      </c>
      <c r="T206" s="10">
        <f t="shared" si="70"/>
        <v>12.7239</v>
      </c>
      <c r="U206" s="6">
        <f t="shared" si="71"/>
        <v>14.93</v>
      </c>
      <c r="V206" s="6"/>
      <c r="W206" s="6"/>
      <c r="X206" s="10"/>
      <c r="Y206" s="6"/>
      <c r="Z206" s="10"/>
      <c r="AA206" s="6"/>
      <c r="AB206" s="10"/>
      <c r="AC206" s="6"/>
      <c r="AD206" s="10"/>
      <c r="AE206" s="19"/>
      <c r="AF206" s="6"/>
      <c r="AG206" s="6"/>
      <c r="AH206" s="6"/>
      <c r="AI206" s="6"/>
      <c r="AJ206" s="6"/>
      <c r="AK206" s="6"/>
      <c r="AL206" s="6"/>
      <c r="AM206" s="6"/>
      <c r="AN206" s="6">
        <v>1</v>
      </c>
      <c r="AO206" s="6">
        <v>14.93</v>
      </c>
      <c r="AP206" s="6">
        <f t="shared" si="67"/>
        <v>1</v>
      </c>
      <c r="AQ206" s="10">
        <f t="shared" si="67"/>
        <v>12.7239</v>
      </c>
    </row>
    <row r="207" spans="1:43">
      <c r="A207" s="37" t="s">
        <v>55</v>
      </c>
      <c r="B207" s="14"/>
      <c r="C207" s="6"/>
      <c r="D207" s="6"/>
      <c r="E207" s="6">
        <v>1</v>
      </c>
      <c r="F207" s="10">
        <f t="shared" si="65"/>
        <v>4.0088999999999997</v>
      </c>
      <c r="G207" s="6"/>
      <c r="H207" s="6"/>
      <c r="I207" s="6"/>
      <c r="J207" s="6">
        <v>8.7149999999999999</v>
      </c>
      <c r="K207" s="6"/>
      <c r="L207" s="6"/>
      <c r="M207" s="6"/>
      <c r="N207" s="6"/>
      <c r="O207" s="6"/>
      <c r="P207" s="6"/>
      <c r="Q207" s="6">
        <v>1</v>
      </c>
      <c r="R207" s="6">
        <v>14.9</v>
      </c>
      <c r="S207" s="6">
        <f t="shared" si="70"/>
        <v>1</v>
      </c>
      <c r="T207" s="10">
        <f t="shared" si="70"/>
        <v>12.7239</v>
      </c>
      <c r="U207" s="6">
        <f t="shared" si="71"/>
        <v>14.9</v>
      </c>
      <c r="V207" s="6"/>
      <c r="W207" s="6"/>
      <c r="X207" s="10"/>
      <c r="Y207" s="6"/>
      <c r="Z207" s="10"/>
      <c r="AA207" s="6"/>
      <c r="AB207" s="10"/>
      <c r="AC207" s="6"/>
      <c r="AD207" s="10"/>
      <c r="AE207" s="19"/>
      <c r="AF207" s="6"/>
      <c r="AG207" s="6"/>
      <c r="AH207" s="6"/>
      <c r="AI207" s="6"/>
      <c r="AJ207" s="6"/>
      <c r="AK207" s="6"/>
      <c r="AL207" s="6"/>
      <c r="AM207" s="6"/>
      <c r="AN207" s="6">
        <v>1</v>
      </c>
      <c r="AO207" s="6">
        <v>14.9</v>
      </c>
      <c r="AP207" s="6">
        <f t="shared" si="67"/>
        <v>1</v>
      </c>
      <c r="AQ207" s="10">
        <f t="shared" si="67"/>
        <v>12.7239</v>
      </c>
    </row>
    <row r="208" spans="1:43">
      <c r="A208" s="37" t="s">
        <v>56</v>
      </c>
      <c r="B208" s="14"/>
      <c r="C208" s="6"/>
      <c r="D208" s="6"/>
      <c r="E208" s="6">
        <v>1</v>
      </c>
      <c r="F208" s="10">
        <f t="shared" si="65"/>
        <v>4.0088999999999997</v>
      </c>
      <c r="G208" s="6"/>
      <c r="H208" s="6"/>
      <c r="I208" s="6"/>
      <c r="J208" s="6">
        <v>8.7149999999999999</v>
      </c>
      <c r="K208" s="6"/>
      <c r="L208" s="6"/>
      <c r="M208" s="6"/>
      <c r="N208" s="6"/>
      <c r="O208" s="6"/>
      <c r="P208" s="6"/>
      <c r="Q208" s="6">
        <v>1</v>
      </c>
      <c r="R208" s="6">
        <v>14.85</v>
      </c>
      <c r="S208" s="6">
        <f t="shared" si="70"/>
        <v>1</v>
      </c>
      <c r="T208" s="10">
        <f t="shared" si="70"/>
        <v>12.7239</v>
      </c>
      <c r="U208" s="6">
        <f t="shared" si="71"/>
        <v>14.85</v>
      </c>
      <c r="V208" s="6"/>
      <c r="W208" s="6"/>
      <c r="X208" s="10"/>
      <c r="Y208" s="6"/>
      <c r="Z208" s="10"/>
      <c r="AA208" s="6"/>
      <c r="AB208" s="10"/>
      <c r="AC208" s="6"/>
      <c r="AD208" s="10"/>
      <c r="AE208" s="19"/>
      <c r="AF208" s="6"/>
      <c r="AG208" s="6"/>
      <c r="AH208" s="6"/>
      <c r="AI208" s="6"/>
      <c r="AJ208" s="6"/>
      <c r="AK208" s="6"/>
      <c r="AL208" s="6"/>
      <c r="AM208" s="6"/>
      <c r="AN208" s="6">
        <v>1</v>
      </c>
      <c r="AO208" s="6">
        <v>14.85</v>
      </c>
      <c r="AP208" s="6">
        <f t="shared" si="67"/>
        <v>1</v>
      </c>
      <c r="AQ208" s="10">
        <f t="shared" si="67"/>
        <v>12.7239</v>
      </c>
    </row>
    <row r="209" spans="1:43">
      <c r="A209" s="37" t="s">
        <v>26</v>
      </c>
      <c r="B209" s="14"/>
      <c r="C209" s="6"/>
      <c r="D209" s="6"/>
      <c r="E209" s="6">
        <v>1</v>
      </c>
      <c r="F209" s="10">
        <f t="shared" si="65"/>
        <v>8.017339999999999</v>
      </c>
      <c r="G209" s="6"/>
      <c r="H209" s="6"/>
      <c r="I209" s="6"/>
      <c r="J209" s="6">
        <v>17.428999999999998</v>
      </c>
      <c r="K209" s="6"/>
      <c r="L209" s="6"/>
      <c r="M209" s="6"/>
      <c r="N209" s="6"/>
      <c r="O209" s="6"/>
      <c r="P209" s="6"/>
      <c r="Q209" s="6">
        <v>1</v>
      </c>
      <c r="R209" s="6">
        <v>19.91</v>
      </c>
      <c r="S209" s="6">
        <f t="shared" si="70"/>
        <v>1</v>
      </c>
      <c r="T209" s="10">
        <f t="shared" si="70"/>
        <v>25.446339999999999</v>
      </c>
      <c r="U209" s="6">
        <f t="shared" si="71"/>
        <v>19.91</v>
      </c>
      <c r="V209" s="6"/>
      <c r="W209" s="6"/>
      <c r="X209" s="10"/>
      <c r="Y209" s="6"/>
      <c r="Z209" s="10"/>
      <c r="AA209" s="6"/>
      <c r="AB209" s="10"/>
      <c r="AC209" s="6"/>
      <c r="AD209" s="10"/>
      <c r="AE209" s="19"/>
      <c r="AF209" s="6"/>
      <c r="AG209" s="6"/>
      <c r="AH209" s="6"/>
      <c r="AI209" s="6"/>
      <c r="AJ209" s="6"/>
      <c r="AK209" s="6"/>
      <c r="AL209" s="6"/>
      <c r="AM209" s="6"/>
      <c r="AN209" s="6">
        <v>1</v>
      </c>
      <c r="AO209" s="6">
        <v>19.91</v>
      </c>
      <c r="AP209" s="6">
        <f t="shared" si="67"/>
        <v>1</v>
      </c>
      <c r="AQ209" s="10">
        <f t="shared" si="67"/>
        <v>25.446339999999999</v>
      </c>
    </row>
    <row r="210" spans="1:43">
      <c r="A210" s="37" t="s">
        <v>27</v>
      </c>
      <c r="B210" s="14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>
        <v>1</v>
      </c>
      <c r="R210" s="6">
        <v>4.92</v>
      </c>
      <c r="S210" s="6"/>
      <c r="T210" s="6"/>
      <c r="U210" s="6"/>
      <c r="V210" s="6"/>
      <c r="W210" s="6">
        <v>1</v>
      </c>
      <c r="X210" s="6">
        <v>0.05</v>
      </c>
      <c r="Y210" s="6"/>
      <c r="Z210" s="6"/>
      <c r="AA210" s="6"/>
      <c r="AB210" s="6"/>
      <c r="AC210" s="6"/>
      <c r="AD210" s="6"/>
      <c r="AE210" s="19"/>
      <c r="AF210" s="6"/>
      <c r="AG210" s="6"/>
      <c r="AH210" s="6"/>
      <c r="AI210" s="6"/>
      <c r="AJ210" s="6"/>
      <c r="AK210" s="6"/>
      <c r="AL210" s="6"/>
      <c r="AM210" s="6"/>
      <c r="AN210" s="6">
        <v>1</v>
      </c>
      <c r="AO210" s="6">
        <v>4.92</v>
      </c>
      <c r="AP210" s="6">
        <v>1</v>
      </c>
      <c r="AQ210" s="10">
        <v>4.1369999999999996</v>
      </c>
    </row>
    <row r="211" spans="1:43">
      <c r="A211" s="37" t="s">
        <v>57</v>
      </c>
      <c r="B211" s="14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>
        <v>1</v>
      </c>
      <c r="R211" s="6">
        <v>4.9800000000000004</v>
      </c>
      <c r="S211" s="6"/>
      <c r="T211" s="6"/>
      <c r="U211" s="6"/>
      <c r="V211" s="6"/>
      <c r="W211" s="6">
        <v>1</v>
      </c>
      <c r="X211" s="6">
        <v>0.05</v>
      </c>
      <c r="Y211" s="6"/>
      <c r="Z211" s="6"/>
      <c r="AA211" s="6"/>
      <c r="AB211" s="6"/>
      <c r="AC211" s="6"/>
      <c r="AD211" s="6"/>
      <c r="AE211" s="19"/>
      <c r="AF211" s="6"/>
      <c r="AG211" s="6"/>
      <c r="AH211" s="6"/>
      <c r="AI211" s="6"/>
      <c r="AJ211" s="6"/>
      <c r="AK211" s="6"/>
      <c r="AL211" s="6"/>
      <c r="AM211" s="6"/>
      <c r="AN211" s="6">
        <v>1</v>
      </c>
      <c r="AO211" s="6">
        <v>4.9800000000000004</v>
      </c>
      <c r="AP211" s="6">
        <v>1</v>
      </c>
      <c r="AQ211" s="10">
        <v>4.1420000000000003</v>
      </c>
    </row>
    <row r="212" spans="1:43">
      <c r="A212" s="37" t="s">
        <v>29</v>
      </c>
      <c r="B212" s="14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>
        <v>1</v>
      </c>
      <c r="R212" s="6">
        <v>4.97</v>
      </c>
      <c r="S212" s="6"/>
      <c r="T212" s="6"/>
      <c r="U212" s="6"/>
      <c r="V212" s="6"/>
      <c r="W212" s="6">
        <v>1</v>
      </c>
      <c r="X212" s="6">
        <v>0.05</v>
      </c>
      <c r="Y212" s="6"/>
      <c r="Z212" s="6"/>
      <c r="AA212" s="6"/>
      <c r="AB212" s="6"/>
      <c r="AC212" s="6"/>
      <c r="AD212" s="6"/>
      <c r="AE212" s="19"/>
      <c r="AF212" s="6"/>
      <c r="AG212" s="6"/>
      <c r="AH212" s="6"/>
      <c r="AI212" s="6"/>
      <c r="AJ212" s="6"/>
      <c r="AK212" s="6"/>
      <c r="AL212" s="6"/>
      <c r="AM212" s="6"/>
      <c r="AN212" s="6">
        <v>1</v>
      </c>
      <c r="AO212" s="6">
        <v>4.97</v>
      </c>
      <c r="AP212" s="6">
        <v>1</v>
      </c>
      <c r="AQ212" s="10">
        <v>4.1390000000000002</v>
      </c>
    </row>
    <row r="213" spans="1:43">
      <c r="A213" s="39" t="s">
        <v>67</v>
      </c>
      <c r="B213" s="33" t="s">
        <v>20</v>
      </c>
      <c r="C213" s="30">
        <v>21</v>
      </c>
      <c r="D213" s="30">
        <v>444.08</v>
      </c>
      <c r="E213" s="30">
        <f>SUM(E214:E239)</f>
        <v>16</v>
      </c>
      <c r="F213" s="30">
        <f>SUM(F214:F242)</f>
        <v>188.24000000000004</v>
      </c>
      <c r="G213" s="30">
        <v>21</v>
      </c>
      <c r="H213" s="30">
        <v>444.08</v>
      </c>
      <c r="I213" s="30">
        <f>SUM(I214:I239)</f>
        <v>0</v>
      </c>
      <c r="J213" s="30">
        <f>SUM(J214:J242)</f>
        <v>235.30000000000004</v>
      </c>
      <c r="K213" s="30"/>
      <c r="L213" s="30"/>
      <c r="M213" s="30"/>
      <c r="N213" s="30"/>
      <c r="O213" s="30"/>
      <c r="P213" s="30"/>
      <c r="Q213" s="30">
        <v>29</v>
      </c>
      <c r="R213" s="30">
        <f>263.94+180.14+360.92</f>
        <v>805</v>
      </c>
      <c r="S213" s="30">
        <f>SUM(S214:S239)</f>
        <v>21</v>
      </c>
      <c r="T213" s="44">
        <f>SUM(T214:T242)</f>
        <v>423.54000000000019</v>
      </c>
      <c r="U213" s="30"/>
      <c r="V213" s="30"/>
      <c r="W213" s="30">
        <f t="shared" ref="W213:AB213" si="72">SUM(W214:W242)</f>
        <v>5</v>
      </c>
      <c r="X213" s="44">
        <f t="shared" si="72"/>
        <v>0.25</v>
      </c>
      <c r="Y213" s="30">
        <f t="shared" si="72"/>
        <v>0</v>
      </c>
      <c r="Z213" s="44">
        <f t="shared" si="72"/>
        <v>0</v>
      </c>
      <c r="AA213" s="30">
        <f t="shared" si="72"/>
        <v>0</v>
      </c>
      <c r="AB213" s="44">
        <f t="shared" si="72"/>
        <v>0</v>
      </c>
      <c r="AC213" s="30">
        <f>SUM(AC214:AC239)</f>
        <v>0</v>
      </c>
      <c r="AD213" s="44">
        <f>SUM(AD214:AD242)</f>
        <v>0</v>
      </c>
      <c r="AE213" s="31"/>
      <c r="AF213" s="30">
        <f>SUM(AF214:AF242)</f>
        <v>0</v>
      </c>
      <c r="AG213" s="30"/>
      <c r="AH213" s="30"/>
      <c r="AI213" s="30"/>
      <c r="AJ213" s="30"/>
      <c r="AK213" s="30"/>
      <c r="AL213" s="30"/>
      <c r="AM213" s="30"/>
      <c r="AN213" s="30">
        <v>29</v>
      </c>
      <c r="AO213" s="30">
        <f>263.94+180.14+360.92</f>
        <v>805</v>
      </c>
      <c r="AP213" s="30">
        <f>SUM(AP214:AP242)</f>
        <v>26</v>
      </c>
      <c r="AQ213" s="44">
        <f>SUM(AQ214:AQ242)</f>
        <v>533.45680000000027</v>
      </c>
    </row>
    <row r="214" spans="1:43">
      <c r="A214" s="37" t="s">
        <v>21</v>
      </c>
      <c r="B214" s="14"/>
      <c r="C214" s="6"/>
      <c r="D214" s="6"/>
      <c r="E214" s="6"/>
      <c r="F214" s="10">
        <f t="shared" ref="F214:F239" si="73">J214*0.8</f>
        <v>4.1832000000000003</v>
      </c>
      <c r="G214" s="6"/>
      <c r="H214" s="6"/>
      <c r="I214" s="6"/>
      <c r="J214" s="6">
        <v>5.2290000000000001</v>
      </c>
      <c r="K214" s="6"/>
      <c r="L214" s="6"/>
      <c r="M214" s="6"/>
      <c r="N214" s="6"/>
      <c r="O214" s="6"/>
      <c r="P214" s="6"/>
      <c r="Q214" s="6">
        <v>1</v>
      </c>
      <c r="R214" s="6">
        <v>12</v>
      </c>
      <c r="S214" s="6">
        <v>1</v>
      </c>
      <c r="T214" s="10">
        <f>J214+F214</f>
        <v>9.4122000000000003</v>
      </c>
      <c r="U214" s="6">
        <f>R214</f>
        <v>12</v>
      </c>
      <c r="V214" s="6"/>
      <c r="W214" s="6"/>
      <c r="X214" s="10"/>
      <c r="Y214" s="6"/>
      <c r="Z214" s="10"/>
      <c r="AA214" s="6"/>
      <c r="AB214" s="10"/>
      <c r="AC214" s="6"/>
      <c r="AD214" s="10"/>
      <c r="AE214" s="19"/>
      <c r="AF214" s="6"/>
      <c r="AG214" s="6"/>
      <c r="AH214" s="6"/>
      <c r="AI214" s="6"/>
      <c r="AJ214" s="6"/>
      <c r="AK214" s="6"/>
      <c r="AL214" s="6"/>
      <c r="AM214" s="6"/>
      <c r="AN214" s="6">
        <v>1</v>
      </c>
      <c r="AO214" s="6">
        <v>12</v>
      </c>
      <c r="AP214" s="6">
        <f t="shared" ref="AP214:AQ229" si="74">S214</f>
        <v>1</v>
      </c>
      <c r="AQ214" s="10">
        <f t="shared" si="74"/>
        <v>9.4122000000000003</v>
      </c>
    </row>
    <row r="215" spans="1:43">
      <c r="A215" s="37" t="s">
        <v>43</v>
      </c>
      <c r="B215" s="14"/>
      <c r="C215" s="6"/>
      <c r="D215" s="6"/>
      <c r="E215" s="6">
        <v>1</v>
      </c>
      <c r="F215" s="10">
        <f t="shared" si="73"/>
        <v>13.944000000000001</v>
      </c>
      <c r="G215" s="6"/>
      <c r="H215" s="6"/>
      <c r="I215" s="6"/>
      <c r="J215" s="6">
        <v>17.43</v>
      </c>
      <c r="K215" s="6"/>
      <c r="L215" s="6"/>
      <c r="M215" s="6"/>
      <c r="N215" s="6"/>
      <c r="O215" s="6"/>
      <c r="P215" s="6"/>
      <c r="Q215" s="6">
        <v>1</v>
      </c>
      <c r="R215" s="6">
        <v>12.05</v>
      </c>
      <c r="S215" s="6">
        <f>I215+E215</f>
        <v>1</v>
      </c>
      <c r="T215" s="10">
        <f>J215+F215</f>
        <v>31.374000000000002</v>
      </c>
      <c r="U215" s="6">
        <f>R215</f>
        <v>12.05</v>
      </c>
      <c r="V215" s="6"/>
      <c r="W215" s="6"/>
      <c r="X215" s="10"/>
      <c r="Y215" s="6"/>
      <c r="Z215" s="10"/>
      <c r="AA215" s="6"/>
      <c r="AB215" s="10"/>
      <c r="AC215" s="6"/>
      <c r="AD215" s="10"/>
      <c r="AE215" s="19"/>
      <c r="AF215" s="6"/>
      <c r="AG215" s="6"/>
      <c r="AH215" s="6"/>
      <c r="AI215" s="6"/>
      <c r="AJ215" s="6"/>
      <c r="AK215" s="6"/>
      <c r="AL215" s="6"/>
      <c r="AM215" s="6"/>
      <c r="AN215" s="6">
        <v>1</v>
      </c>
      <c r="AO215" s="6">
        <v>12.05</v>
      </c>
      <c r="AP215" s="6">
        <f t="shared" si="74"/>
        <v>1</v>
      </c>
      <c r="AQ215" s="10">
        <f t="shared" si="74"/>
        <v>31.374000000000002</v>
      </c>
    </row>
    <row r="216" spans="1:43">
      <c r="A216" s="37" t="s">
        <v>22</v>
      </c>
      <c r="B216" s="14"/>
      <c r="C216" s="6"/>
      <c r="D216" s="6"/>
      <c r="E216" s="6"/>
      <c r="F216" s="10">
        <f t="shared" si="73"/>
        <v>6.9720000000000004</v>
      </c>
      <c r="G216" s="6"/>
      <c r="H216" s="6"/>
      <c r="I216" s="6"/>
      <c r="J216" s="6">
        <v>8.7149999999999999</v>
      </c>
      <c r="K216" s="6"/>
      <c r="L216" s="6"/>
      <c r="M216" s="6"/>
      <c r="N216" s="6"/>
      <c r="O216" s="6"/>
      <c r="P216" s="6"/>
      <c r="Q216" s="6">
        <v>1</v>
      </c>
      <c r="R216" s="6">
        <v>17.32</v>
      </c>
      <c r="S216" s="6">
        <v>1</v>
      </c>
      <c r="T216" s="10">
        <f>J216+F216</f>
        <v>15.687000000000001</v>
      </c>
      <c r="U216" s="6">
        <f>R216</f>
        <v>17.32</v>
      </c>
      <c r="V216" s="6"/>
      <c r="W216" s="6"/>
      <c r="X216" s="10"/>
      <c r="Y216" s="6"/>
      <c r="Z216" s="10"/>
      <c r="AA216" s="6"/>
      <c r="AB216" s="10"/>
      <c r="AC216" s="6"/>
      <c r="AD216" s="10"/>
      <c r="AE216" s="19"/>
      <c r="AF216" s="6"/>
      <c r="AG216" s="6"/>
      <c r="AH216" s="6"/>
      <c r="AI216" s="6"/>
      <c r="AJ216" s="6"/>
      <c r="AK216" s="6"/>
      <c r="AL216" s="6"/>
      <c r="AM216" s="6"/>
      <c r="AN216" s="6">
        <v>1</v>
      </c>
      <c r="AO216" s="6">
        <v>17.32</v>
      </c>
      <c r="AP216" s="6">
        <f t="shared" si="74"/>
        <v>1</v>
      </c>
      <c r="AQ216" s="10">
        <f t="shared" si="74"/>
        <v>15.687000000000001</v>
      </c>
    </row>
    <row r="217" spans="1:43">
      <c r="A217" s="37" t="s">
        <v>44</v>
      </c>
      <c r="B217" s="14"/>
      <c r="C217" s="6"/>
      <c r="D217" s="6"/>
      <c r="E217" s="6">
        <v>1</v>
      </c>
      <c r="F217" s="10">
        <f t="shared" si="73"/>
        <v>13.944000000000001</v>
      </c>
      <c r="G217" s="6"/>
      <c r="H217" s="6"/>
      <c r="I217" s="6"/>
      <c r="J217" s="6">
        <v>17.43</v>
      </c>
      <c r="K217" s="6"/>
      <c r="L217" s="6"/>
      <c r="M217" s="6"/>
      <c r="N217" s="6"/>
      <c r="O217" s="6"/>
      <c r="P217" s="6"/>
      <c r="Q217" s="6">
        <v>1</v>
      </c>
      <c r="R217" s="6">
        <v>36.01</v>
      </c>
      <c r="S217" s="6">
        <f>I217+E217</f>
        <v>1</v>
      </c>
      <c r="T217" s="10">
        <f>J217+F217</f>
        <v>31.374000000000002</v>
      </c>
      <c r="U217" s="6">
        <f>R217</f>
        <v>36.01</v>
      </c>
      <c r="V217" s="6"/>
      <c r="W217" s="6"/>
      <c r="X217" s="10"/>
      <c r="Y217" s="6"/>
      <c r="Z217" s="10"/>
      <c r="AA217" s="6"/>
      <c r="AB217" s="10"/>
      <c r="AC217" s="6"/>
      <c r="AD217" s="10"/>
      <c r="AE217" s="19"/>
      <c r="AF217" s="6"/>
      <c r="AG217" s="6"/>
      <c r="AH217" s="6"/>
      <c r="AI217" s="6"/>
      <c r="AJ217" s="6"/>
      <c r="AK217" s="6"/>
      <c r="AL217" s="6"/>
      <c r="AM217" s="6"/>
      <c r="AN217" s="6">
        <v>1</v>
      </c>
      <c r="AO217" s="6">
        <v>36.01</v>
      </c>
      <c r="AP217" s="6">
        <f t="shared" si="74"/>
        <v>1</v>
      </c>
      <c r="AQ217" s="10">
        <f t="shared" si="74"/>
        <v>31.374000000000002</v>
      </c>
    </row>
    <row r="218" spans="1:43">
      <c r="A218" s="37" t="s">
        <v>36</v>
      </c>
      <c r="B218" s="14"/>
      <c r="C218" s="6"/>
      <c r="D218" s="6"/>
      <c r="E218" s="6"/>
      <c r="F218" s="10">
        <f t="shared" si="73"/>
        <v>0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>
        <v>1</v>
      </c>
      <c r="R218" s="6">
        <v>224.44</v>
      </c>
      <c r="S218" s="6"/>
      <c r="T218" s="10"/>
      <c r="U218" s="6"/>
      <c r="V218" s="6"/>
      <c r="W218" s="6"/>
      <c r="X218" s="10"/>
      <c r="Y218" s="6"/>
      <c r="Z218" s="10"/>
      <c r="AA218" s="6"/>
      <c r="AB218" s="10"/>
      <c r="AC218" s="6"/>
      <c r="AD218" s="10"/>
      <c r="AE218" s="19"/>
      <c r="AF218" s="6"/>
      <c r="AG218" s="6"/>
      <c r="AH218" s="6"/>
      <c r="AI218" s="6"/>
      <c r="AJ218" s="6"/>
      <c r="AK218" s="6"/>
      <c r="AL218" s="6"/>
      <c r="AM218" s="6"/>
      <c r="AN218" s="6">
        <v>1</v>
      </c>
      <c r="AO218" s="6">
        <v>224.44</v>
      </c>
      <c r="AP218" s="6">
        <v>1</v>
      </c>
      <c r="AQ218" s="10">
        <v>115.258</v>
      </c>
    </row>
    <row r="219" spans="1:43">
      <c r="A219" s="37" t="s">
        <v>37</v>
      </c>
      <c r="B219" s="14"/>
      <c r="C219" s="6"/>
      <c r="D219" s="6"/>
      <c r="E219" s="6">
        <v>1</v>
      </c>
      <c r="F219" s="10">
        <f t="shared" si="73"/>
        <v>6.9720000000000004</v>
      </c>
      <c r="G219" s="6"/>
      <c r="H219" s="6"/>
      <c r="I219" s="6"/>
      <c r="J219" s="6">
        <v>8.7149999999999999</v>
      </c>
      <c r="K219" s="6"/>
      <c r="L219" s="6"/>
      <c r="M219" s="6"/>
      <c r="N219" s="6"/>
      <c r="O219" s="6"/>
      <c r="P219" s="6"/>
      <c r="Q219" s="6">
        <v>1</v>
      </c>
      <c r="R219" s="6">
        <v>18.04</v>
      </c>
      <c r="S219" s="6">
        <f>I219+E219</f>
        <v>1</v>
      </c>
      <c r="T219" s="10">
        <f>J219+F219</f>
        <v>15.687000000000001</v>
      </c>
      <c r="U219" s="6">
        <f>R219</f>
        <v>18.04</v>
      </c>
      <c r="V219" s="6"/>
      <c r="W219" s="6"/>
      <c r="X219" s="10"/>
      <c r="Y219" s="6"/>
      <c r="Z219" s="10"/>
      <c r="AA219" s="6"/>
      <c r="AB219" s="10"/>
      <c r="AC219" s="6"/>
      <c r="AD219" s="10"/>
      <c r="AE219" s="19"/>
      <c r="AF219" s="6"/>
      <c r="AG219" s="6"/>
      <c r="AH219" s="6"/>
      <c r="AI219" s="6"/>
      <c r="AJ219" s="6"/>
      <c r="AK219" s="6"/>
      <c r="AL219" s="6"/>
      <c r="AM219" s="6"/>
      <c r="AN219" s="6">
        <v>1</v>
      </c>
      <c r="AO219" s="6">
        <v>18.04</v>
      </c>
      <c r="AP219" s="6">
        <f t="shared" si="74"/>
        <v>1</v>
      </c>
      <c r="AQ219" s="10">
        <f t="shared" si="74"/>
        <v>15.687000000000001</v>
      </c>
    </row>
    <row r="220" spans="1:43">
      <c r="A220" s="37" t="s">
        <v>23</v>
      </c>
      <c r="B220" s="14"/>
      <c r="C220" s="6"/>
      <c r="D220" s="6"/>
      <c r="E220" s="6">
        <v>1</v>
      </c>
      <c r="F220" s="10">
        <f t="shared" si="73"/>
        <v>6.9720000000000004</v>
      </c>
      <c r="G220" s="6"/>
      <c r="H220" s="6"/>
      <c r="I220" s="6"/>
      <c r="J220" s="6">
        <v>8.7149999999999999</v>
      </c>
      <c r="K220" s="6"/>
      <c r="L220" s="6"/>
      <c r="M220" s="6"/>
      <c r="N220" s="6"/>
      <c r="O220" s="6"/>
      <c r="P220" s="6"/>
      <c r="Q220" s="6">
        <v>1</v>
      </c>
      <c r="R220" s="6">
        <v>18.09</v>
      </c>
      <c r="S220" s="6">
        <f>I220+E220</f>
        <v>1</v>
      </c>
      <c r="T220" s="10">
        <f>J220+F220</f>
        <v>15.687000000000001</v>
      </c>
      <c r="U220" s="6">
        <f>R220</f>
        <v>18.09</v>
      </c>
      <c r="V220" s="6"/>
      <c r="W220" s="6"/>
      <c r="X220" s="10"/>
      <c r="Y220" s="6"/>
      <c r="Z220" s="10"/>
      <c r="AA220" s="6"/>
      <c r="AB220" s="10"/>
      <c r="AC220" s="6"/>
      <c r="AD220" s="10"/>
      <c r="AE220" s="19"/>
      <c r="AF220" s="6"/>
      <c r="AG220" s="6"/>
      <c r="AH220" s="6"/>
      <c r="AI220" s="6"/>
      <c r="AJ220" s="6"/>
      <c r="AK220" s="6"/>
      <c r="AL220" s="6"/>
      <c r="AM220" s="6"/>
      <c r="AN220" s="6">
        <v>1</v>
      </c>
      <c r="AO220" s="6">
        <v>18.09</v>
      </c>
      <c r="AP220" s="6">
        <f t="shared" si="74"/>
        <v>1</v>
      </c>
      <c r="AQ220" s="10">
        <f t="shared" si="74"/>
        <v>15.687000000000001</v>
      </c>
    </row>
    <row r="221" spans="1:43">
      <c r="A221" s="37" t="s">
        <v>38</v>
      </c>
      <c r="B221" s="14"/>
      <c r="C221" s="6"/>
      <c r="D221" s="6"/>
      <c r="E221" s="6"/>
      <c r="F221" s="10">
        <f t="shared" si="73"/>
        <v>0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>
        <v>1</v>
      </c>
      <c r="R221" s="6">
        <v>36.229999999999997</v>
      </c>
      <c r="S221" s="6"/>
      <c r="T221" s="10"/>
      <c r="U221" s="6"/>
      <c r="V221" s="6"/>
      <c r="W221" s="6"/>
      <c r="X221" s="10"/>
      <c r="Y221" s="6"/>
      <c r="Z221" s="10"/>
      <c r="AA221" s="6"/>
      <c r="AB221" s="10"/>
      <c r="AC221" s="6"/>
      <c r="AD221" s="10"/>
      <c r="AE221" s="19"/>
      <c r="AF221" s="6"/>
      <c r="AG221" s="6"/>
      <c r="AH221" s="6"/>
      <c r="AI221" s="6"/>
      <c r="AJ221" s="6"/>
      <c r="AK221" s="6"/>
      <c r="AL221" s="6"/>
      <c r="AM221" s="6"/>
      <c r="AN221" s="6">
        <v>1</v>
      </c>
      <c r="AO221" s="6">
        <v>36.229999999999997</v>
      </c>
      <c r="AP221" s="6">
        <v>0</v>
      </c>
      <c r="AQ221" s="26">
        <v>0</v>
      </c>
    </row>
    <row r="222" spans="1:43">
      <c r="A222" s="37" t="s">
        <v>45</v>
      </c>
      <c r="B222" s="14"/>
      <c r="C222" s="6"/>
      <c r="D222" s="6"/>
      <c r="E222" s="6">
        <v>1</v>
      </c>
      <c r="F222" s="10">
        <f t="shared" si="73"/>
        <v>6.9720000000000004</v>
      </c>
      <c r="G222" s="6"/>
      <c r="H222" s="6"/>
      <c r="I222" s="6"/>
      <c r="J222" s="6">
        <v>8.7149999999999999</v>
      </c>
      <c r="K222" s="6"/>
      <c r="L222" s="6"/>
      <c r="M222" s="6"/>
      <c r="N222" s="6"/>
      <c r="O222" s="6"/>
      <c r="P222" s="6"/>
      <c r="Q222" s="6">
        <v>1</v>
      </c>
      <c r="R222" s="6">
        <v>12.04</v>
      </c>
      <c r="S222" s="6">
        <f t="shared" ref="S222:T229" si="75">I222+E222</f>
        <v>1</v>
      </c>
      <c r="T222" s="10">
        <f t="shared" si="75"/>
        <v>15.687000000000001</v>
      </c>
      <c r="U222" s="6">
        <f t="shared" ref="U222:U229" si="76">R222</f>
        <v>12.04</v>
      </c>
      <c r="V222" s="6"/>
      <c r="W222" s="6"/>
      <c r="X222" s="10"/>
      <c r="Y222" s="6"/>
      <c r="Z222" s="10"/>
      <c r="AA222" s="6"/>
      <c r="AB222" s="10"/>
      <c r="AC222" s="6"/>
      <c r="AD222" s="10"/>
      <c r="AE222" s="19"/>
      <c r="AF222" s="6"/>
      <c r="AG222" s="6"/>
      <c r="AH222" s="6"/>
      <c r="AI222" s="6"/>
      <c r="AJ222" s="6"/>
      <c r="AK222" s="6"/>
      <c r="AL222" s="6"/>
      <c r="AM222" s="6"/>
      <c r="AN222" s="6">
        <v>1</v>
      </c>
      <c r="AO222" s="6">
        <v>12.04</v>
      </c>
      <c r="AP222" s="6">
        <f t="shared" si="74"/>
        <v>1</v>
      </c>
      <c r="AQ222" s="10">
        <f t="shared" si="74"/>
        <v>15.687000000000001</v>
      </c>
    </row>
    <row r="223" spans="1:43">
      <c r="A223" s="37" t="s">
        <v>46</v>
      </c>
      <c r="B223" s="14"/>
      <c r="C223" s="6"/>
      <c r="D223" s="6"/>
      <c r="E223" s="6">
        <v>1</v>
      </c>
      <c r="F223" s="10">
        <f t="shared" si="73"/>
        <v>9.76</v>
      </c>
      <c r="G223" s="6"/>
      <c r="H223" s="6"/>
      <c r="I223" s="6"/>
      <c r="J223" s="6">
        <v>12.2</v>
      </c>
      <c r="K223" s="6"/>
      <c r="L223" s="6"/>
      <c r="M223" s="6"/>
      <c r="N223" s="6"/>
      <c r="O223" s="6"/>
      <c r="P223" s="6"/>
      <c r="Q223" s="6">
        <v>1</v>
      </c>
      <c r="R223" s="6">
        <v>24.04</v>
      </c>
      <c r="S223" s="6">
        <f t="shared" si="75"/>
        <v>1</v>
      </c>
      <c r="T223" s="10">
        <f t="shared" si="75"/>
        <v>21.96</v>
      </c>
      <c r="U223" s="6">
        <f t="shared" si="76"/>
        <v>24.04</v>
      </c>
      <c r="V223" s="6"/>
      <c r="W223" s="6"/>
      <c r="X223" s="10"/>
      <c r="Y223" s="6"/>
      <c r="Z223" s="10"/>
      <c r="AA223" s="6"/>
      <c r="AB223" s="10"/>
      <c r="AC223" s="6"/>
      <c r="AD223" s="10"/>
      <c r="AE223" s="19"/>
      <c r="AF223" s="6"/>
      <c r="AG223" s="6"/>
      <c r="AH223" s="6"/>
      <c r="AI223" s="6"/>
      <c r="AJ223" s="6"/>
      <c r="AK223" s="6"/>
      <c r="AL223" s="6"/>
      <c r="AM223" s="6"/>
      <c r="AN223" s="6">
        <v>1</v>
      </c>
      <c r="AO223" s="6">
        <v>24.04</v>
      </c>
      <c r="AP223" s="6">
        <f t="shared" si="74"/>
        <v>1</v>
      </c>
      <c r="AQ223" s="10">
        <f t="shared" si="74"/>
        <v>21.96</v>
      </c>
    </row>
    <row r="224" spans="1:43">
      <c r="A224" s="37" t="s">
        <v>24</v>
      </c>
      <c r="B224" s="14"/>
      <c r="C224" s="6"/>
      <c r="D224" s="6"/>
      <c r="E224" s="6">
        <v>1</v>
      </c>
      <c r="F224" s="10">
        <f t="shared" si="73"/>
        <v>4.1832000000000003</v>
      </c>
      <c r="G224" s="6"/>
      <c r="H224" s="6"/>
      <c r="I224" s="6"/>
      <c r="J224" s="6">
        <v>5.2290000000000001</v>
      </c>
      <c r="K224" s="6"/>
      <c r="L224" s="6"/>
      <c r="M224" s="6"/>
      <c r="N224" s="6"/>
      <c r="O224" s="6"/>
      <c r="P224" s="6"/>
      <c r="Q224" s="6">
        <v>1</v>
      </c>
      <c r="R224" s="6">
        <v>12.05</v>
      </c>
      <c r="S224" s="6">
        <f t="shared" si="75"/>
        <v>1</v>
      </c>
      <c r="T224" s="10">
        <f t="shared" si="75"/>
        <v>9.4122000000000003</v>
      </c>
      <c r="U224" s="6">
        <f t="shared" si="76"/>
        <v>12.05</v>
      </c>
      <c r="V224" s="6"/>
      <c r="W224" s="6"/>
      <c r="X224" s="10"/>
      <c r="Y224" s="6"/>
      <c r="Z224" s="10"/>
      <c r="AA224" s="6"/>
      <c r="AB224" s="10"/>
      <c r="AC224" s="6"/>
      <c r="AD224" s="10"/>
      <c r="AE224" s="19"/>
      <c r="AF224" s="6"/>
      <c r="AG224" s="6"/>
      <c r="AH224" s="6"/>
      <c r="AI224" s="6"/>
      <c r="AJ224" s="6"/>
      <c r="AK224" s="6"/>
      <c r="AL224" s="6"/>
      <c r="AM224" s="6"/>
      <c r="AN224" s="6">
        <v>1</v>
      </c>
      <c r="AO224" s="6">
        <v>12.05</v>
      </c>
      <c r="AP224" s="6">
        <f t="shared" si="74"/>
        <v>1</v>
      </c>
      <c r="AQ224" s="10">
        <f t="shared" si="74"/>
        <v>9.4122000000000003</v>
      </c>
    </row>
    <row r="225" spans="1:43">
      <c r="A225" s="37" t="s">
        <v>47</v>
      </c>
      <c r="B225" s="14"/>
      <c r="C225" s="6"/>
      <c r="D225" s="6"/>
      <c r="E225" s="6">
        <v>1</v>
      </c>
      <c r="F225" s="10">
        <f t="shared" si="73"/>
        <v>6.9720000000000004</v>
      </c>
      <c r="G225" s="6"/>
      <c r="H225" s="6"/>
      <c r="I225" s="6"/>
      <c r="J225" s="6">
        <v>8.7149999999999999</v>
      </c>
      <c r="K225" s="6"/>
      <c r="L225" s="6"/>
      <c r="M225" s="6"/>
      <c r="N225" s="6"/>
      <c r="O225" s="6"/>
      <c r="P225" s="6"/>
      <c r="Q225" s="6">
        <v>1</v>
      </c>
      <c r="R225" s="6">
        <v>12.02</v>
      </c>
      <c r="S225" s="6">
        <f t="shared" si="75"/>
        <v>1</v>
      </c>
      <c r="T225" s="10">
        <f t="shared" si="75"/>
        <v>15.687000000000001</v>
      </c>
      <c r="U225" s="6">
        <f t="shared" si="76"/>
        <v>12.02</v>
      </c>
      <c r="V225" s="6"/>
      <c r="W225" s="6"/>
      <c r="X225" s="10"/>
      <c r="Y225" s="6"/>
      <c r="Z225" s="10"/>
      <c r="AA225" s="6"/>
      <c r="AB225" s="10"/>
      <c r="AC225" s="6"/>
      <c r="AD225" s="10"/>
      <c r="AE225" s="19"/>
      <c r="AF225" s="6"/>
      <c r="AG225" s="6"/>
      <c r="AH225" s="6"/>
      <c r="AI225" s="6"/>
      <c r="AJ225" s="6"/>
      <c r="AK225" s="6"/>
      <c r="AL225" s="6"/>
      <c r="AM225" s="6"/>
      <c r="AN225" s="6">
        <v>1</v>
      </c>
      <c r="AO225" s="6">
        <v>12.02</v>
      </c>
      <c r="AP225" s="6">
        <f t="shared" si="74"/>
        <v>1</v>
      </c>
      <c r="AQ225" s="10">
        <f t="shared" si="74"/>
        <v>15.687000000000001</v>
      </c>
    </row>
    <row r="226" spans="1:43">
      <c r="A226" s="37" t="s">
        <v>40</v>
      </c>
      <c r="B226" s="14"/>
      <c r="C226" s="6"/>
      <c r="D226" s="6"/>
      <c r="E226" s="6">
        <v>1</v>
      </c>
      <c r="F226" s="10">
        <f t="shared" si="73"/>
        <v>6.9720000000000004</v>
      </c>
      <c r="G226" s="6"/>
      <c r="H226" s="6"/>
      <c r="I226" s="6"/>
      <c r="J226" s="6">
        <v>8.7149999999999999</v>
      </c>
      <c r="K226" s="6"/>
      <c r="L226" s="6"/>
      <c r="M226" s="6"/>
      <c r="N226" s="6"/>
      <c r="O226" s="6"/>
      <c r="P226" s="6"/>
      <c r="Q226" s="6">
        <v>1</v>
      </c>
      <c r="R226" s="6">
        <v>11.93</v>
      </c>
      <c r="S226" s="6">
        <f t="shared" si="75"/>
        <v>1</v>
      </c>
      <c r="T226" s="10">
        <f t="shared" si="75"/>
        <v>15.687000000000001</v>
      </c>
      <c r="U226" s="6">
        <f t="shared" si="76"/>
        <v>11.93</v>
      </c>
      <c r="V226" s="6"/>
      <c r="W226" s="6"/>
      <c r="X226" s="10"/>
      <c r="Y226" s="6"/>
      <c r="Z226" s="10"/>
      <c r="AA226" s="6"/>
      <c r="AB226" s="10"/>
      <c r="AC226" s="6"/>
      <c r="AD226" s="10"/>
      <c r="AE226" s="19"/>
      <c r="AF226" s="6"/>
      <c r="AG226" s="6"/>
      <c r="AH226" s="6"/>
      <c r="AI226" s="6"/>
      <c r="AJ226" s="6"/>
      <c r="AK226" s="6"/>
      <c r="AL226" s="6"/>
      <c r="AM226" s="6"/>
      <c r="AN226" s="6">
        <v>1</v>
      </c>
      <c r="AO226" s="6">
        <v>11.93</v>
      </c>
      <c r="AP226" s="6">
        <f t="shared" si="74"/>
        <v>1</v>
      </c>
      <c r="AQ226" s="10">
        <f t="shared" si="74"/>
        <v>15.687000000000001</v>
      </c>
    </row>
    <row r="227" spans="1:43">
      <c r="A227" s="37" t="s">
        <v>48</v>
      </c>
      <c r="B227" s="14"/>
      <c r="C227" s="6"/>
      <c r="D227" s="6"/>
      <c r="E227" s="6">
        <v>1</v>
      </c>
      <c r="F227" s="10">
        <f t="shared" si="73"/>
        <v>4.1832000000000003</v>
      </c>
      <c r="G227" s="6"/>
      <c r="H227" s="6"/>
      <c r="I227" s="6"/>
      <c r="J227" s="6">
        <v>5.2290000000000001</v>
      </c>
      <c r="K227" s="6"/>
      <c r="L227" s="6"/>
      <c r="M227" s="6"/>
      <c r="N227" s="6"/>
      <c r="O227" s="6"/>
      <c r="P227" s="6"/>
      <c r="Q227" s="6">
        <v>1</v>
      </c>
      <c r="R227" s="6">
        <v>11.98</v>
      </c>
      <c r="S227" s="6">
        <f t="shared" si="75"/>
        <v>1</v>
      </c>
      <c r="T227" s="10">
        <f t="shared" si="75"/>
        <v>9.4122000000000003</v>
      </c>
      <c r="U227" s="6">
        <f t="shared" si="76"/>
        <v>11.98</v>
      </c>
      <c r="V227" s="6"/>
      <c r="W227" s="6"/>
      <c r="X227" s="10"/>
      <c r="Y227" s="6"/>
      <c r="Z227" s="10"/>
      <c r="AA227" s="6"/>
      <c r="AB227" s="10"/>
      <c r="AC227" s="6"/>
      <c r="AD227" s="10"/>
      <c r="AE227" s="19"/>
      <c r="AF227" s="6"/>
      <c r="AG227" s="6"/>
      <c r="AH227" s="6"/>
      <c r="AI227" s="6"/>
      <c r="AJ227" s="6"/>
      <c r="AK227" s="6"/>
      <c r="AL227" s="6"/>
      <c r="AM227" s="6"/>
      <c r="AN227" s="6">
        <v>1</v>
      </c>
      <c r="AO227" s="6">
        <v>11.98</v>
      </c>
      <c r="AP227" s="6">
        <f t="shared" si="74"/>
        <v>1</v>
      </c>
      <c r="AQ227" s="10">
        <f t="shared" si="74"/>
        <v>9.4122000000000003</v>
      </c>
    </row>
    <row r="228" spans="1:43">
      <c r="A228" s="37" t="s">
        <v>41</v>
      </c>
      <c r="B228" s="14"/>
      <c r="C228" s="6"/>
      <c r="D228" s="6"/>
      <c r="E228" s="6">
        <v>1</v>
      </c>
      <c r="F228" s="10">
        <f t="shared" si="73"/>
        <v>4.1832000000000003</v>
      </c>
      <c r="G228" s="6"/>
      <c r="H228" s="6"/>
      <c r="I228" s="6"/>
      <c r="J228" s="6">
        <v>5.2290000000000001</v>
      </c>
      <c r="K228" s="6"/>
      <c r="L228" s="6"/>
      <c r="M228" s="6"/>
      <c r="N228" s="6"/>
      <c r="O228" s="6"/>
      <c r="P228" s="6"/>
      <c r="Q228" s="6">
        <v>1</v>
      </c>
      <c r="R228" s="6">
        <v>11.91</v>
      </c>
      <c r="S228" s="6">
        <f t="shared" si="75"/>
        <v>1</v>
      </c>
      <c r="T228" s="10">
        <f t="shared" si="75"/>
        <v>9.4122000000000003</v>
      </c>
      <c r="U228" s="6">
        <f t="shared" si="76"/>
        <v>11.91</v>
      </c>
      <c r="V228" s="6"/>
      <c r="W228" s="6"/>
      <c r="X228" s="10"/>
      <c r="Y228" s="6"/>
      <c r="Z228" s="10"/>
      <c r="AA228" s="6"/>
      <c r="AB228" s="10"/>
      <c r="AC228" s="6"/>
      <c r="AD228" s="10"/>
      <c r="AE228" s="19"/>
      <c r="AF228" s="6"/>
      <c r="AG228" s="6"/>
      <c r="AH228" s="6"/>
      <c r="AI228" s="6"/>
      <c r="AJ228" s="6"/>
      <c r="AK228" s="6"/>
      <c r="AL228" s="6"/>
      <c r="AM228" s="6"/>
      <c r="AN228" s="6">
        <v>1</v>
      </c>
      <c r="AO228" s="6">
        <v>11.91</v>
      </c>
      <c r="AP228" s="6">
        <f t="shared" si="74"/>
        <v>1</v>
      </c>
      <c r="AQ228" s="10">
        <f t="shared" si="74"/>
        <v>9.4122000000000003</v>
      </c>
    </row>
    <row r="229" spans="1:43">
      <c r="A229" s="37" t="s">
        <v>49</v>
      </c>
      <c r="B229" s="14"/>
      <c r="C229" s="6"/>
      <c r="D229" s="6"/>
      <c r="E229" s="6">
        <v>1</v>
      </c>
      <c r="F229" s="10">
        <f t="shared" si="73"/>
        <v>4.1832000000000003</v>
      </c>
      <c r="G229" s="6"/>
      <c r="H229" s="6"/>
      <c r="I229" s="6"/>
      <c r="J229" s="6">
        <v>5.2290000000000001</v>
      </c>
      <c r="K229" s="6"/>
      <c r="L229" s="6"/>
      <c r="M229" s="6"/>
      <c r="N229" s="6"/>
      <c r="O229" s="6"/>
      <c r="P229" s="6"/>
      <c r="Q229" s="6">
        <v>1</v>
      </c>
      <c r="R229" s="6">
        <v>11.86</v>
      </c>
      <c r="S229" s="6">
        <f t="shared" si="75"/>
        <v>1</v>
      </c>
      <c r="T229" s="10">
        <f t="shared" si="75"/>
        <v>9.4122000000000003</v>
      </c>
      <c r="U229" s="6">
        <f t="shared" si="76"/>
        <v>11.86</v>
      </c>
      <c r="V229" s="6"/>
      <c r="W229" s="6"/>
      <c r="X229" s="10"/>
      <c r="Y229" s="6"/>
      <c r="Z229" s="10"/>
      <c r="AA229" s="6"/>
      <c r="AB229" s="10"/>
      <c r="AC229" s="6"/>
      <c r="AD229" s="10"/>
      <c r="AE229" s="19"/>
      <c r="AF229" s="6"/>
      <c r="AG229" s="6"/>
      <c r="AH229" s="6"/>
      <c r="AI229" s="6"/>
      <c r="AJ229" s="6"/>
      <c r="AK229" s="6"/>
      <c r="AL229" s="6"/>
      <c r="AM229" s="6"/>
      <c r="AN229" s="6">
        <v>1</v>
      </c>
      <c r="AO229" s="6">
        <v>11.86</v>
      </c>
      <c r="AP229" s="6">
        <f t="shared" si="74"/>
        <v>1</v>
      </c>
      <c r="AQ229" s="10">
        <f t="shared" si="74"/>
        <v>9.4122000000000003</v>
      </c>
    </row>
    <row r="230" spans="1:43">
      <c r="A230" s="37" t="s">
        <v>50</v>
      </c>
      <c r="B230" s="14"/>
      <c r="C230" s="6"/>
      <c r="D230" s="6"/>
      <c r="E230" s="6"/>
      <c r="F230" s="10">
        <f t="shared" si="73"/>
        <v>0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>
        <v>1</v>
      </c>
      <c r="R230" s="6">
        <v>6.34</v>
      </c>
      <c r="S230" s="6"/>
      <c r="T230" s="10"/>
      <c r="U230" s="6"/>
      <c r="V230" s="6"/>
      <c r="W230" s="6">
        <v>1</v>
      </c>
      <c r="X230" s="10">
        <v>0.05</v>
      </c>
      <c r="Y230" s="6"/>
      <c r="Z230" s="10"/>
      <c r="AA230" s="6"/>
      <c r="AB230" s="10"/>
      <c r="AC230" s="6"/>
      <c r="AD230" s="10"/>
      <c r="AE230" s="19"/>
      <c r="AF230" s="6"/>
      <c r="AG230" s="6"/>
      <c r="AH230" s="6"/>
      <c r="AI230" s="6"/>
      <c r="AJ230" s="6"/>
      <c r="AK230" s="6"/>
      <c r="AL230" s="6"/>
      <c r="AM230" s="6"/>
      <c r="AN230" s="6">
        <v>1</v>
      </c>
      <c r="AO230" s="6">
        <v>6.34</v>
      </c>
      <c r="AP230" s="6">
        <v>1</v>
      </c>
      <c r="AQ230" s="6">
        <v>5.1719999999999997</v>
      </c>
    </row>
    <row r="231" spans="1:43">
      <c r="A231" s="37" t="s">
        <v>25</v>
      </c>
      <c r="B231" s="14"/>
      <c r="C231" s="6"/>
      <c r="D231" s="6"/>
      <c r="E231" s="6"/>
      <c r="F231" s="10">
        <f t="shared" si="73"/>
        <v>0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>
        <v>1</v>
      </c>
      <c r="R231" s="6">
        <v>6.27</v>
      </c>
      <c r="S231" s="6"/>
      <c r="T231" s="10"/>
      <c r="U231" s="6"/>
      <c r="V231" s="6"/>
      <c r="W231" s="6">
        <v>1</v>
      </c>
      <c r="X231" s="10">
        <v>0.05</v>
      </c>
      <c r="Y231" s="6"/>
      <c r="Z231" s="10"/>
      <c r="AA231" s="6"/>
      <c r="AB231" s="10"/>
      <c r="AC231" s="6"/>
      <c r="AD231" s="10"/>
      <c r="AE231" s="19"/>
      <c r="AF231" s="6"/>
      <c r="AG231" s="6"/>
      <c r="AH231" s="6"/>
      <c r="AI231" s="6"/>
      <c r="AJ231" s="6"/>
      <c r="AK231" s="6"/>
      <c r="AL231" s="6"/>
      <c r="AM231" s="6"/>
      <c r="AN231" s="6">
        <v>1</v>
      </c>
      <c r="AO231" s="6">
        <v>6.27</v>
      </c>
      <c r="AP231" s="6">
        <v>1</v>
      </c>
      <c r="AQ231" s="6">
        <v>5.1719999999999997</v>
      </c>
    </row>
    <row r="232" spans="1:43">
      <c r="A232" s="37" t="s">
        <v>51</v>
      </c>
      <c r="B232" s="14"/>
      <c r="C232" s="6"/>
      <c r="D232" s="6"/>
      <c r="E232" s="6"/>
      <c r="F232" s="10">
        <f t="shared" si="73"/>
        <v>0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>
        <v>1</v>
      </c>
      <c r="R232" s="6">
        <v>66.13</v>
      </c>
      <c r="S232" s="6"/>
      <c r="T232" s="10"/>
      <c r="U232" s="6"/>
      <c r="V232" s="6"/>
      <c r="W232" s="6"/>
      <c r="X232" s="10"/>
      <c r="Y232" s="6"/>
      <c r="Z232" s="10"/>
      <c r="AA232" s="6"/>
      <c r="AB232" s="10"/>
      <c r="AC232" s="6"/>
      <c r="AD232" s="10"/>
      <c r="AE232" s="19"/>
      <c r="AF232" s="6"/>
      <c r="AG232" s="6"/>
      <c r="AH232" s="6"/>
      <c r="AI232" s="6"/>
      <c r="AJ232" s="6"/>
      <c r="AK232" s="6"/>
      <c r="AL232" s="6"/>
      <c r="AM232" s="6"/>
      <c r="AN232" s="6">
        <v>1</v>
      </c>
      <c r="AO232" s="6">
        <v>66.13</v>
      </c>
      <c r="AP232" s="6">
        <v>0</v>
      </c>
      <c r="AQ232" s="26">
        <v>0</v>
      </c>
    </row>
    <row r="233" spans="1:43">
      <c r="A233" s="37" t="s">
        <v>52</v>
      </c>
      <c r="B233" s="14"/>
      <c r="C233" s="6"/>
      <c r="D233" s="6"/>
      <c r="E233" s="6">
        <v>1</v>
      </c>
      <c r="F233" s="10">
        <f t="shared" si="73"/>
        <v>19.521600000000003</v>
      </c>
      <c r="G233" s="6"/>
      <c r="H233" s="6"/>
      <c r="I233" s="6"/>
      <c r="J233" s="6">
        <v>24.402000000000001</v>
      </c>
      <c r="K233" s="6"/>
      <c r="L233" s="6"/>
      <c r="M233" s="6"/>
      <c r="N233" s="6"/>
      <c r="O233" s="6"/>
      <c r="P233" s="6"/>
      <c r="Q233" s="6">
        <v>1</v>
      </c>
      <c r="R233" s="6">
        <v>60.31</v>
      </c>
      <c r="S233" s="6">
        <f>I233+E233</f>
        <v>1</v>
      </c>
      <c r="T233" s="10">
        <f>J233+F233</f>
        <v>43.923600000000008</v>
      </c>
      <c r="U233" s="6">
        <f t="shared" ref="U233:U239" si="77">R233</f>
        <v>60.31</v>
      </c>
      <c r="V233" s="6"/>
      <c r="W233" s="6"/>
      <c r="X233" s="10"/>
      <c r="Y233" s="6"/>
      <c r="Z233" s="10"/>
      <c r="AA233" s="6"/>
      <c r="AB233" s="10"/>
      <c r="AC233" s="6"/>
      <c r="AD233" s="10"/>
      <c r="AE233" s="19"/>
      <c r="AF233" s="6"/>
      <c r="AG233" s="6"/>
      <c r="AH233" s="6"/>
      <c r="AI233" s="6"/>
      <c r="AJ233" s="6"/>
      <c r="AK233" s="6"/>
      <c r="AL233" s="6"/>
      <c r="AM233" s="6"/>
      <c r="AN233" s="6">
        <v>1</v>
      </c>
      <c r="AO233" s="6">
        <v>60.31</v>
      </c>
      <c r="AP233" s="6">
        <f t="shared" ref="AP233:AQ239" si="78">S233</f>
        <v>1</v>
      </c>
      <c r="AQ233" s="10">
        <f t="shared" si="78"/>
        <v>43.923600000000008</v>
      </c>
    </row>
    <row r="234" spans="1:43">
      <c r="A234" s="37" t="s">
        <v>18</v>
      </c>
      <c r="B234" s="14"/>
      <c r="C234" s="6"/>
      <c r="D234" s="6"/>
      <c r="E234" s="6">
        <v>1</v>
      </c>
      <c r="F234" s="10">
        <f t="shared" si="73"/>
        <v>13.943199999999999</v>
      </c>
      <c r="G234" s="6"/>
      <c r="H234" s="6"/>
      <c r="I234" s="6"/>
      <c r="J234" s="6">
        <v>17.428999999999998</v>
      </c>
      <c r="K234" s="6"/>
      <c r="L234" s="6"/>
      <c r="M234" s="6"/>
      <c r="N234" s="6"/>
      <c r="O234" s="6"/>
      <c r="P234" s="6"/>
      <c r="Q234" s="6">
        <v>1</v>
      </c>
      <c r="R234" s="6">
        <v>48.07</v>
      </c>
      <c r="S234" s="6">
        <f>I234+E234</f>
        <v>1</v>
      </c>
      <c r="T234" s="10">
        <f>J234+F234</f>
        <v>31.372199999999999</v>
      </c>
      <c r="U234" s="6">
        <f t="shared" si="77"/>
        <v>48.07</v>
      </c>
      <c r="V234" s="6"/>
      <c r="W234" s="6"/>
      <c r="X234" s="10"/>
      <c r="Y234" s="6"/>
      <c r="Z234" s="10"/>
      <c r="AA234" s="6"/>
      <c r="AB234" s="10"/>
      <c r="AC234" s="6"/>
      <c r="AD234" s="10"/>
      <c r="AE234" s="19"/>
      <c r="AF234" s="6"/>
      <c r="AG234" s="6"/>
      <c r="AH234" s="6"/>
      <c r="AI234" s="6"/>
      <c r="AJ234" s="6"/>
      <c r="AK234" s="6"/>
      <c r="AL234" s="6"/>
      <c r="AM234" s="6"/>
      <c r="AN234" s="6">
        <v>1</v>
      </c>
      <c r="AO234" s="6">
        <v>48.07</v>
      </c>
      <c r="AP234" s="6">
        <v>0</v>
      </c>
      <c r="AQ234" s="26">
        <v>0</v>
      </c>
    </row>
    <row r="235" spans="1:43">
      <c r="A235" s="37" t="s">
        <v>53</v>
      </c>
      <c r="B235" s="14"/>
      <c r="C235" s="6"/>
      <c r="D235" s="6"/>
      <c r="E235" s="6"/>
      <c r="F235" s="10">
        <f t="shared" si="73"/>
        <v>19.52</v>
      </c>
      <c r="G235" s="6"/>
      <c r="H235" s="6"/>
      <c r="I235" s="6"/>
      <c r="J235" s="6">
        <v>24.4</v>
      </c>
      <c r="K235" s="6"/>
      <c r="L235" s="6"/>
      <c r="M235" s="6"/>
      <c r="N235" s="6"/>
      <c r="O235" s="6"/>
      <c r="P235" s="6"/>
      <c r="Q235" s="6">
        <v>1</v>
      </c>
      <c r="R235" s="6">
        <v>36.15</v>
      </c>
      <c r="S235" s="6">
        <v>1</v>
      </c>
      <c r="T235" s="10">
        <f>J235+F235</f>
        <v>43.92</v>
      </c>
      <c r="U235" s="6">
        <f t="shared" si="77"/>
        <v>36.15</v>
      </c>
      <c r="V235" s="6"/>
      <c r="W235" s="6"/>
      <c r="X235" s="10"/>
      <c r="Y235" s="6"/>
      <c r="Z235" s="10"/>
      <c r="AA235" s="6"/>
      <c r="AB235" s="10"/>
      <c r="AC235" s="6"/>
      <c r="AD235" s="10"/>
      <c r="AE235" s="19"/>
      <c r="AF235" s="6"/>
      <c r="AG235" s="6"/>
      <c r="AH235" s="6"/>
      <c r="AI235" s="6"/>
      <c r="AJ235" s="6"/>
      <c r="AK235" s="6"/>
      <c r="AL235" s="6"/>
      <c r="AM235" s="6"/>
      <c r="AN235" s="6">
        <v>1</v>
      </c>
      <c r="AO235" s="6">
        <v>36.15</v>
      </c>
      <c r="AP235" s="6">
        <f t="shared" si="78"/>
        <v>1</v>
      </c>
      <c r="AQ235" s="10">
        <f t="shared" si="78"/>
        <v>43.92</v>
      </c>
    </row>
    <row r="236" spans="1:43">
      <c r="A236" s="37" t="s">
        <v>54</v>
      </c>
      <c r="B236" s="14"/>
      <c r="C236" s="6"/>
      <c r="D236" s="6"/>
      <c r="E236" s="6"/>
      <c r="F236" s="10">
        <f t="shared" si="73"/>
        <v>6.9720000000000004</v>
      </c>
      <c r="G236" s="6"/>
      <c r="H236" s="6"/>
      <c r="I236" s="6"/>
      <c r="J236" s="6">
        <v>8.7149999999999999</v>
      </c>
      <c r="K236" s="6"/>
      <c r="L236" s="6"/>
      <c r="M236" s="6"/>
      <c r="N236" s="6"/>
      <c r="O236" s="6"/>
      <c r="P236" s="6"/>
      <c r="Q236" s="6">
        <v>1</v>
      </c>
      <c r="R236" s="6">
        <v>18.059999999999999</v>
      </c>
      <c r="S236" s="6">
        <v>1</v>
      </c>
      <c r="T236" s="10">
        <f>J236+F236</f>
        <v>15.687000000000001</v>
      </c>
      <c r="U236" s="6">
        <f t="shared" si="77"/>
        <v>18.059999999999999</v>
      </c>
      <c r="V236" s="6"/>
      <c r="W236" s="6"/>
      <c r="X236" s="10"/>
      <c r="Y236" s="6"/>
      <c r="Z236" s="10"/>
      <c r="AA236" s="6"/>
      <c r="AB236" s="10"/>
      <c r="AC236" s="6"/>
      <c r="AD236" s="10"/>
      <c r="AE236" s="19"/>
      <c r="AF236" s="6"/>
      <c r="AG236" s="6"/>
      <c r="AH236" s="6"/>
      <c r="AI236" s="6"/>
      <c r="AJ236" s="6"/>
      <c r="AK236" s="6"/>
      <c r="AL236" s="6"/>
      <c r="AM236" s="6"/>
      <c r="AN236" s="6">
        <v>1</v>
      </c>
      <c r="AO236" s="6">
        <v>18.059999999999999</v>
      </c>
      <c r="AP236" s="6">
        <f t="shared" si="78"/>
        <v>1</v>
      </c>
      <c r="AQ236" s="10">
        <f t="shared" si="78"/>
        <v>15.687000000000001</v>
      </c>
    </row>
    <row r="237" spans="1:43">
      <c r="A237" s="37" t="s">
        <v>55</v>
      </c>
      <c r="B237" s="14"/>
      <c r="C237" s="6"/>
      <c r="D237" s="6"/>
      <c r="E237" s="6">
        <v>1</v>
      </c>
      <c r="F237" s="10">
        <f t="shared" si="73"/>
        <v>6.9720000000000004</v>
      </c>
      <c r="G237" s="6"/>
      <c r="H237" s="6"/>
      <c r="I237" s="6"/>
      <c r="J237" s="6">
        <v>8.7149999999999999</v>
      </c>
      <c r="K237" s="6"/>
      <c r="L237" s="6"/>
      <c r="M237" s="6"/>
      <c r="N237" s="6"/>
      <c r="O237" s="6"/>
      <c r="P237" s="6"/>
      <c r="Q237" s="6">
        <v>1</v>
      </c>
      <c r="R237" s="6">
        <v>18.05</v>
      </c>
      <c r="S237" s="6">
        <f>I237+E237</f>
        <v>1</v>
      </c>
      <c r="T237" s="10">
        <f>J237+F237</f>
        <v>15.687000000000001</v>
      </c>
      <c r="U237" s="6">
        <f t="shared" si="77"/>
        <v>18.05</v>
      </c>
      <c r="V237" s="6"/>
      <c r="W237" s="6"/>
      <c r="X237" s="10"/>
      <c r="Y237" s="6"/>
      <c r="Z237" s="10"/>
      <c r="AA237" s="6"/>
      <c r="AB237" s="10"/>
      <c r="AC237" s="6"/>
      <c r="AD237" s="10"/>
      <c r="AE237" s="19"/>
      <c r="AF237" s="6"/>
      <c r="AG237" s="6"/>
      <c r="AH237" s="6"/>
      <c r="AI237" s="6"/>
      <c r="AJ237" s="6"/>
      <c r="AK237" s="6"/>
      <c r="AL237" s="6"/>
      <c r="AM237" s="6"/>
      <c r="AN237" s="6">
        <v>1</v>
      </c>
      <c r="AO237" s="6">
        <v>18.05</v>
      </c>
      <c r="AP237" s="6">
        <f t="shared" si="78"/>
        <v>1</v>
      </c>
      <c r="AQ237" s="10">
        <f t="shared" si="78"/>
        <v>15.687000000000001</v>
      </c>
    </row>
    <row r="238" spans="1:43">
      <c r="A238" s="37" t="s">
        <v>56</v>
      </c>
      <c r="B238" s="14"/>
      <c r="C238" s="6"/>
      <c r="D238" s="6"/>
      <c r="E238" s="6"/>
      <c r="F238" s="10">
        <f t="shared" si="73"/>
        <v>6.9720000000000004</v>
      </c>
      <c r="G238" s="6"/>
      <c r="H238" s="6"/>
      <c r="I238" s="6"/>
      <c r="J238" s="6">
        <v>8.7149999999999999</v>
      </c>
      <c r="K238" s="6"/>
      <c r="L238" s="6"/>
      <c r="M238" s="6"/>
      <c r="N238" s="6"/>
      <c r="O238" s="6"/>
      <c r="P238" s="6"/>
      <c r="Q238" s="6">
        <v>1</v>
      </c>
      <c r="R238" s="6">
        <v>18.04</v>
      </c>
      <c r="S238" s="6">
        <v>1</v>
      </c>
      <c r="T238" s="10">
        <f>J238+F238</f>
        <v>15.687000000000001</v>
      </c>
      <c r="U238" s="6">
        <f t="shared" si="77"/>
        <v>18.04</v>
      </c>
      <c r="V238" s="6"/>
      <c r="W238" s="6"/>
      <c r="X238" s="10"/>
      <c r="Y238" s="6"/>
      <c r="Z238" s="10"/>
      <c r="AA238" s="6"/>
      <c r="AB238" s="10"/>
      <c r="AC238" s="6"/>
      <c r="AD238" s="10"/>
      <c r="AE238" s="19"/>
      <c r="AF238" s="6"/>
      <c r="AG238" s="6"/>
      <c r="AH238" s="6"/>
      <c r="AI238" s="6"/>
      <c r="AJ238" s="6"/>
      <c r="AK238" s="6"/>
      <c r="AL238" s="6"/>
      <c r="AM238" s="6"/>
      <c r="AN238" s="6">
        <v>1</v>
      </c>
      <c r="AO238" s="6">
        <v>18.04</v>
      </c>
      <c r="AP238" s="6">
        <f t="shared" si="78"/>
        <v>1</v>
      </c>
      <c r="AQ238" s="10">
        <f t="shared" si="78"/>
        <v>15.687000000000001</v>
      </c>
    </row>
    <row r="239" spans="1:43">
      <c r="A239" s="37" t="s">
        <v>26</v>
      </c>
      <c r="B239" s="14"/>
      <c r="C239" s="6"/>
      <c r="D239" s="6"/>
      <c r="E239" s="6">
        <v>1</v>
      </c>
      <c r="F239" s="10">
        <f t="shared" si="73"/>
        <v>13.943199999999999</v>
      </c>
      <c r="G239" s="6"/>
      <c r="H239" s="6"/>
      <c r="I239" s="6"/>
      <c r="J239" s="6">
        <v>17.428999999999998</v>
      </c>
      <c r="K239" s="6"/>
      <c r="L239" s="6"/>
      <c r="M239" s="6"/>
      <c r="N239" s="6"/>
      <c r="O239" s="6"/>
      <c r="P239" s="6"/>
      <c r="Q239" s="6">
        <v>1</v>
      </c>
      <c r="R239" s="6">
        <v>24.03</v>
      </c>
      <c r="S239" s="6">
        <f>I239+E239</f>
        <v>1</v>
      </c>
      <c r="T239" s="10">
        <f>J239+F239</f>
        <v>31.372199999999999</v>
      </c>
      <c r="U239" s="6">
        <f t="shared" si="77"/>
        <v>24.03</v>
      </c>
      <c r="V239" s="6"/>
      <c r="W239" s="6"/>
      <c r="X239" s="10"/>
      <c r="Y239" s="6"/>
      <c r="Z239" s="10"/>
      <c r="AA239" s="6"/>
      <c r="AB239" s="10"/>
      <c r="AC239" s="6"/>
      <c r="AD239" s="10"/>
      <c r="AE239" s="19"/>
      <c r="AF239" s="6"/>
      <c r="AG239" s="6"/>
      <c r="AH239" s="6"/>
      <c r="AI239" s="6"/>
      <c r="AJ239" s="6"/>
      <c r="AK239" s="6"/>
      <c r="AL239" s="6"/>
      <c r="AM239" s="6"/>
      <c r="AN239" s="6">
        <v>1</v>
      </c>
      <c r="AO239" s="6">
        <v>24.03</v>
      </c>
      <c r="AP239" s="6">
        <f t="shared" si="78"/>
        <v>1</v>
      </c>
      <c r="AQ239" s="10">
        <f t="shared" si="78"/>
        <v>31.372199999999999</v>
      </c>
    </row>
    <row r="240" spans="1:43">
      <c r="A240" s="37" t="s">
        <v>27</v>
      </c>
      <c r="B240" s="14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>
        <v>1</v>
      </c>
      <c r="R240" s="6">
        <v>7.15</v>
      </c>
      <c r="S240" s="6"/>
      <c r="T240" s="6"/>
      <c r="U240" s="6"/>
      <c r="V240" s="6"/>
      <c r="W240" s="6">
        <v>1</v>
      </c>
      <c r="X240" s="6">
        <v>0.05</v>
      </c>
      <c r="Y240" s="6"/>
      <c r="Z240" s="6"/>
      <c r="AA240" s="6"/>
      <c r="AB240" s="6"/>
      <c r="AC240" s="6"/>
      <c r="AD240" s="6"/>
      <c r="AE240" s="19"/>
      <c r="AF240" s="6"/>
      <c r="AG240" s="6"/>
      <c r="AH240" s="6"/>
      <c r="AI240" s="6"/>
      <c r="AJ240" s="6"/>
      <c r="AK240" s="6"/>
      <c r="AL240" s="6"/>
      <c r="AM240" s="6"/>
      <c r="AN240" s="6">
        <v>1</v>
      </c>
      <c r="AO240" s="6">
        <v>7.15</v>
      </c>
      <c r="AP240" s="6">
        <v>1</v>
      </c>
      <c r="AQ240" s="6">
        <v>5.2290000000000001</v>
      </c>
    </row>
    <row r="241" spans="1:43">
      <c r="A241" s="37" t="s">
        <v>57</v>
      </c>
      <c r="B241" s="1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>
        <v>1</v>
      </c>
      <c r="R241" s="6">
        <v>7.23</v>
      </c>
      <c r="S241" s="6"/>
      <c r="T241" s="6"/>
      <c r="U241" s="6"/>
      <c r="V241" s="6"/>
      <c r="W241" s="6">
        <v>1</v>
      </c>
      <c r="X241" s="6">
        <v>0.05</v>
      </c>
      <c r="Y241" s="6"/>
      <c r="Z241" s="6"/>
      <c r="AA241" s="6"/>
      <c r="AB241" s="6"/>
      <c r="AC241" s="6"/>
      <c r="AD241" s="6"/>
      <c r="AE241" s="19"/>
      <c r="AF241" s="6"/>
      <c r="AG241" s="6"/>
      <c r="AH241" s="6"/>
      <c r="AI241" s="6"/>
      <c r="AJ241" s="6"/>
      <c r="AK241" s="6"/>
      <c r="AL241" s="6"/>
      <c r="AM241" s="6"/>
      <c r="AN241" s="6">
        <v>1</v>
      </c>
      <c r="AO241" s="6">
        <v>7.23</v>
      </c>
      <c r="AP241" s="6">
        <v>1</v>
      </c>
      <c r="AQ241" s="6">
        <v>5.2290000000000001</v>
      </c>
    </row>
    <row r="242" spans="1:43">
      <c r="A242" s="37" t="s">
        <v>29</v>
      </c>
      <c r="B242" s="1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>
        <v>1</v>
      </c>
      <c r="R242" s="6">
        <v>7.16</v>
      </c>
      <c r="S242" s="6"/>
      <c r="T242" s="6"/>
      <c r="U242" s="6"/>
      <c r="V242" s="6"/>
      <c r="W242" s="6">
        <v>1</v>
      </c>
      <c r="X242" s="6">
        <v>0.05</v>
      </c>
      <c r="Y242" s="6"/>
      <c r="Z242" s="6"/>
      <c r="AA242" s="6"/>
      <c r="AB242" s="6"/>
      <c r="AC242" s="6"/>
      <c r="AD242" s="6"/>
      <c r="AE242" s="19"/>
      <c r="AF242" s="6"/>
      <c r="AG242" s="6"/>
      <c r="AH242" s="6"/>
      <c r="AI242" s="6"/>
      <c r="AJ242" s="6"/>
      <c r="AK242" s="6"/>
      <c r="AL242" s="6"/>
      <c r="AM242" s="6"/>
      <c r="AN242" s="6">
        <v>1</v>
      </c>
      <c r="AO242" s="6">
        <v>7.16</v>
      </c>
      <c r="AP242" s="6">
        <v>1</v>
      </c>
      <c r="AQ242" s="6">
        <v>5.2290000000000001</v>
      </c>
    </row>
    <row r="243" spans="1:43">
      <c r="A243" s="39" t="s">
        <v>68</v>
      </c>
      <c r="B243" s="33" t="s">
        <v>35</v>
      </c>
      <c r="C243" s="30">
        <v>1.4999999999999999E-2</v>
      </c>
      <c r="D243" s="30">
        <v>10.3</v>
      </c>
      <c r="E243" s="30">
        <f>SUM(E244:E253)</f>
        <v>1.4999999999999999E-2</v>
      </c>
      <c r="F243" s="30">
        <f>SUM(F244:F253)</f>
        <v>9.0869999999999997</v>
      </c>
      <c r="G243" s="30">
        <v>1.4999999999999999E-2</v>
      </c>
      <c r="H243" s="30">
        <v>10.3</v>
      </c>
      <c r="I243" s="30">
        <f t="shared" ref="I243:T243" si="79">SUM(I244:I253)</f>
        <v>5.7499999999999996E-2</v>
      </c>
      <c r="J243" s="30">
        <f t="shared" si="79"/>
        <v>25.683</v>
      </c>
      <c r="K243" s="30">
        <f t="shared" si="79"/>
        <v>15.687000000000001</v>
      </c>
      <c r="L243" s="30">
        <f t="shared" si="79"/>
        <v>9.4619999999999997</v>
      </c>
      <c r="M243" s="30">
        <f t="shared" si="79"/>
        <v>1.9119999999999999</v>
      </c>
      <c r="N243" s="30">
        <f t="shared" si="79"/>
        <v>9.8940000000000001</v>
      </c>
      <c r="O243" s="30">
        <f t="shared" si="79"/>
        <v>9.0000000000000011E-3</v>
      </c>
      <c r="P243" s="30">
        <f t="shared" si="79"/>
        <v>36.963999999999999</v>
      </c>
      <c r="Q243" s="30">
        <f t="shared" si="79"/>
        <v>0.03</v>
      </c>
      <c r="R243" s="30">
        <f t="shared" si="79"/>
        <v>20.6</v>
      </c>
      <c r="S243" s="30">
        <f t="shared" si="79"/>
        <v>7.2499999999999995E-2</v>
      </c>
      <c r="T243" s="30">
        <f t="shared" si="79"/>
        <v>36.963999999999999</v>
      </c>
      <c r="U243" s="30"/>
      <c r="V243" s="30"/>
      <c r="W243" s="30">
        <f>SUM(W244:W256)</f>
        <v>9.9000000000000005E-2</v>
      </c>
      <c r="X243" s="30">
        <f>SUM(X244:X253)</f>
        <v>7.2270000000000003</v>
      </c>
      <c r="Y243" s="30">
        <f>SUM(Y244:Y256)</f>
        <v>8.0000000000000002E-3</v>
      </c>
      <c r="Z243" s="30">
        <f>SUM(Z244:Z253)</f>
        <v>3</v>
      </c>
      <c r="AA243" s="30">
        <f>SUM(AA244:AA256)</f>
        <v>8.0000000000000002E-3</v>
      </c>
      <c r="AB243" s="30">
        <f>SUM(AB244:AB253)</f>
        <v>3</v>
      </c>
      <c r="AC243" s="30">
        <f t="shared" ref="AC243:AD243" si="80">SUM(AC244:AC253)</f>
        <v>0</v>
      </c>
      <c r="AD243" s="30">
        <f t="shared" si="80"/>
        <v>0</v>
      </c>
      <c r="AE243" s="31"/>
      <c r="AF243" s="30">
        <f>SUM(AF244:AF256)</f>
        <v>0.11510000000000001</v>
      </c>
      <c r="AG243" s="30">
        <f>SUM(AG244:AG256)</f>
        <v>32.542999999999999</v>
      </c>
      <c r="AH243" s="30">
        <f t="shared" ref="AH243:AL243" si="81">SUM(AH244:AH256)</f>
        <v>14.856</v>
      </c>
      <c r="AI243" s="30">
        <f t="shared" si="81"/>
        <v>3.0009999999999999</v>
      </c>
      <c r="AJ243" s="30">
        <f t="shared" si="81"/>
        <v>12.09</v>
      </c>
      <c r="AK243" s="30">
        <f t="shared" si="81"/>
        <v>6.1959999999999997</v>
      </c>
      <c r="AL243" s="30">
        <f t="shared" si="81"/>
        <v>68.685000000000002</v>
      </c>
      <c r="AM243" s="30"/>
      <c r="AN243" s="30">
        <v>7.4999999999999997E-2</v>
      </c>
      <c r="AO243" s="30">
        <v>51.5</v>
      </c>
      <c r="AP243" s="30">
        <f>SUM(AP244:AP256)</f>
        <v>0.21560000000000001</v>
      </c>
      <c r="AQ243" s="30">
        <f>SUM(AQ244:AQ256)</f>
        <v>124.505</v>
      </c>
    </row>
    <row r="244" spans="1:43">
      <c r="A244" s="37" t="s">
        <v>138</v>
      </c>
      <c r="B244" s="14"/>
      <c r="C244" s="6"/>
      <c r="D244" s="6"/>
      <c r="E244" s="6"/>
      <c r="F244" s="6"/>
      <c r="G244" s="6"/>
      <c r="H244" s="6"/>
      <c r="I244" s="6">
        <v>3.2000000000000001E-2</v>
      </c>
      <c r="J244" s="6">
        <v>14.8</v>
      </c>
      <c r="K244" s="6">
        <v>6.7569999999999997</v>
      </c>
      <c r="L244" s="6">
        <v>3.988</v>
      </c>
      <c r="M244" s="4">
        <f>ROUND((L244)*0.202,3)</f>
        <v>0.80600000000000005</v>
      </c>
      <c r="N244" s="21">
        <f>ROUND((L244)*1.0457,3)</f>
        <v>4.17</v>
      </c>
      <c r="O244" s="6">
        <v>4.0000000000000001E-3</v>
      </c>
      <c r="P244" s="10">
        <f>SUM(K244:O244)</f>
        <v>15.724999999999998</v>
      </c>
      <c r="Q244" s="6">
        <v>5.0000000000000001E-3</v>
      </c>
      <c r="R244" s="6">
        <v>3.4350000000000001</v>
      </c>
      <c r="S244" s="6">
        <f>I244+E244</f>
        <v>3.2000000000000001E-2</v>
      </c>
      <c r="T244" s="10">
        <f>P244</f>
        <v>15.724999999999998</v>
      </c>
      <c r="U244" s="6"/>
      <c r="V244" s="6"/>
      <c r="W244" s="6"/>
      <c r="X244" s="10"/>
      <c r="Y244" s="6"/>
      <c r="Z244" s="10"/>
      <c r="AA244" s="6"/>
      <c r="AB244" s="10"/>
      <c r="AC244" s="6"/>
      <c r="AD244" s="10"/>
      <c r="AE244" s="19"/>
      <c r="AF244" s="6"/>
      <c r="AG244" s="6"/>
      <c r="AH244" s="6"/>
      <c r="AI244" s="4">
        <f t="shared" ref="AI244:AI256" si="82">ROUND((AH244)*0.202,3)</f>
        <v>0</v>
      </c>
      <c r="AJ244" s="21">
        <f>ROUND((AH244)*1.0457,3)</f>
        <v>0</v>
      </c>
      <c r="AK244" s="6"/>
      <c r="AL244" s="10">
        <f t="shared" ref="AL244:AL248" si="83">SUM(AG244:AK244)</f>
        <v>0</v>
      </c>
      <c r="AM244" s="10"/>
      <c r="AN244" s="6">
        <v>5.0000000000000001E-3</v>
      </c>
      <c r="AO244" s="6">
        <v>3.4350000000000001</v>
      </c>
      <c r="AP244" s="6">
        <f>S244</f>
        <v>3.2000000000000001E-2</v>
      </c>
      <c r="AQ244" s="6">
        <f>T244</f>
        <v>15.724999999999998</v>
      </c>
    </row>
    <row r="245" spans="1:43">
      <c r="A245" s="37" t="s">
        <v>36</v>
      </c>
      <c r="B245" s="14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4"/>
      <c r="N245" s="21"/>
      <c r="O245" s="6"/>
      <c r="P245" s="10"/>
      <c r="Q245" s="6"/>
      <c r="R245" s="6"/>
      <c r="S245" s="6"/>
      <c r="T245" s="10"/>
      <c r="U245" s="6"/>
      <c r="V245" s="6"/>
      <c r="W245" s="6"/>
      <c r="X245" s="10"/>
      <c r="Y245" s="6"/>
      <c r="Z245" s="10"/>
      <c r="AA245" s="6"/>
      <c r="AB245" s="10"/>
      <c r="AC245" s="6"/>
      <c r="AD245" s="10"/>
      <c r="AE245" s="19"/>
      <c r="AF245" s="6">
        <v>5.5999999999999999E-3</v>
      </c>
      <c r="AG245" s="6">
        <v>0.24099999999999999</v>
      </c>
      <c r="AH245" s="6">
        <v>0.311</v>
      </c>
      <c r="AI245" s="4">
        <f t="shared" si="82"/>
        <v>6.3E-2</v>
      </c>
      <c r="AJ245" s="21">
        <f>ROUND((AH245)*0.8138,3)</f>
        <v>0.253</v>
      </c>
      <c r="AK245" s="6">
        <v>1E-3</v>
      </c>
      <c r="AL245" s="10">
        <f t="shared" si="83"/>
        <v>0.86899999999999999</v>
      </c>
      <c r="AM245" s="10"/>
      <c r="AN245" s="6">
        <v>4.0000000000000001E-3</v>
      </c>
      <c r="AO245" s="6">
        <v>2.7480000000000002</v>
      </c>
      <c r="AP245" s="6">
        <v>6.6E-3</v>
      </c>
      <c r="AQ245" s="10">
        <v>1.462</v>
      </c>
    </row>
    <row r="246" spans="1:43">
      <c r="A246" s="37" t="s">
        <v>120</v>
      </c>
      <c r="B246" s="14"/>
      <c r="C246" s="6"/>
      <c r="D246" s="6"/>
      <c r="E246" s="6"/>
      <c r="F246" s="6"/>
      <c r="G246" s="6"/>
      <c r="H246" s="6"/>
      <c r="I246" s="6">
        <v>2.5499999999999998E-2</v>
      </c>
      <c r="J246" s="6">
        <v>10.882999999999999</v>
      </c>
      <c r="K246" s="6">
        <v>4.4740000000000002</v>
      </c>
      <c r="L246" s="6">
        <v>3.1779999999999999</v>
      </c>
      <c r="M246" s="4">
        <f>ROUND((L246)*0.202,3)</f>
        <v>0.64200000000000002</v>
      </c>
      <c r="N246" s="21">
        <f>ROUND((L246)*1.0457,3)</f>
        <v>3.323</v>
      </c>
      <c r="O246" s="6">
        <v>3.0000000000000001E-3</v>
      </c>
      <c r="P246" s="10">
        <f>SUM(K246:O246)</f>
        <v>11.620000000000001</v>
      </c>
      <c r="Q246" s="6">
        <v>5.0000000000000001E-3</v>
      </c>
      <c r="R246" s="6">
        <v>3.4350000000000001</v>
      </c>
      <c r="S246" s="6">
        <f>I246+E246</f>
        <v>2.5499999999999998E-2</v>
      </c>
      <c r="T246" s="10">
        <f>P246</f>
        <v>11.620000000000001</v>
      </c>
      <c r="U246" s="6"/>
      <c r="V246" s="6"/>
      <c r="W246" s="6"/>
      <c r="X246" s="10"/>
      <c r="Y246" s="6"/>
      <c r="Z246" s="10"/>
      <c r="AA246" s="6"/>
      <c r="AB246" s="10"/>
      <c r="AC246" s="6"/>
      <c r="AD246" s="10"/>
      <c r="AE246" s="19"/>
      <c r="AF246" s="6"/>
      <c r="AG246" s="6"/>
      <c r="AH246" s="6"/>
      <c r="AI246" s="4">
        <f t="shared" si="82"/>
        <v>0</v>
      </c>
      <c r="AJ246" s="21">
        <f>ROUND((AH246)*1.0457,3)</f>
        <v>0</v>
      </c>
      <c r="AK246" s="6"/>
      <c r="AL246" s="10">
        <f t="shared" si="83"/>
        <v>0</v>
      </c>
      <c r="AM246" s="10"/>
      <c r="AN246" s="6">
        <v>5.0000000000000001E-3</v>
      </c>
      <c r="AO246" s="6">
        <v>3.4350000000000001</v>
      </c>
      <c r="AP246" s="6">
        <f t="shared" ref="AP246:AQ246" si="84">S246</f>
        <v>2.5499999999999998E-2</v>
      </c>
      <c r="AQ246" s="6">
        <f t="shared" si="84"/>
        <v>11.620000000000001</v>
      </c>
    </row>
    <row r="247" spans="1:43">
      <c r="A247" s="37" t="s">
        <v>23</v>
      </c>
      <c r="B247" s="14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4">
        <f>ROUND((L247)*0.202,3)</f>
        <v>0</v>
      </c>
      <c r="N247" s="21">
        <f>ROUND((L247)*1.0457,3)</f>
        <v>0</v>
      </c>
      <c r="O247" s="6"/>
      <c r="P247" s="10">
        <f>SUM(K247:O247)</f>
        <v>0</v>
      </c>
      <c r="Q247" s="6"/>
      <c r="R247" s="6"/>
      <c r="S247" s="6">
        <f>I247+E247</f>
        <v>0</v>
      </c>
      <c r="T247" s="10">
        <f>P247</f>
        <v>0</v>
      </c>
      <c r="U247" s="6"/>
      <c r="V247" s="6"/>
      <c r="W247" s="6"/>
      <c r="X247" s="10"/>
      <c r="Y247" s="6"/>
      <c r="Z247" s="10"/>
      <c r="AA247" s="6"/>
      <c r="AB247" s="10"/>
      <c r="AC247" s="6"/>
      <c r="AD247" s="10"/>
      <c r="AE247" s="19"/>
      <c r="AF247" s="6"/>
      <c r="AG247" s="6"/>
      <c r="AH247" s="6"/>
      <c r="AI247" s="4">
        <f t="shared" si="82"/>
        <v>0</v>
      </c>
      <c r="AJ247" s="21">
        <f>ROUND((AH247)*1.0457,3)</f>
        <v>0</v>
      </c>
      <c r="AK247" s="6"/>
      <c r="AL247" s="10">
        <f t="shared" si="83"/>
        <v>0</v>
      </c>
      <c r="AM247" s="10"/>
      <c r="AN247" s="6">
        <v>1E-3</v>
      </c>
      <c r="AO247" s="6">
        <v>0.68700000000000006</v>
      </c>
      <c r="AP247" s="6">
        <v>0</v>
      </c>
      <c r="AQ247" s="6">
        <v>0</v>
      </c>
    </row>
    <row r="248" spans="1:43">
      <c r="A248" s="37" t="s">
        <v>132</v>
      </c>
      <c r="B248" s="14"/>
      <c r="C248" s="6"/>
      <c r="D248" s="6"/>
      <c r="E248" s="6">
        <v>1.4999999999999999E-2</v>
      </c>
      <c r="F248" s="6">
        <v>9.0869999999999997</v>
      </c>
      <c r="G248" s="6"/>
      <c r="H248" s="6"/>
      <c r="I248" s="6"/>
      <c r="J248" s="6"/>
      <c r="K248" s="6">
        <v>4.4560000000000004</v>
      </c>
      <c r="L248" s="6">
        <v>2.2959999999999998</v>
      </c>
      <c r="M248" s="4">
        <f>ROUND((L248)*0.202,3)</f>
        <v>0.46400000000000002</v>
      </c>
      <c r="N248" s="21">
        <f>ROUND((L248)*1.0457,3)</f>
        <v>2.4009999999999998</v>
      </c>
      <c r="O248" s="6">
        <v>2E-3</v>
      </c>
      <c r="P248" s="10">
        <f>SUM(K248:O248)</f>
        <v>9.6190000000000015</v>
      </c>
      <c r="Q248" s="6">
        <v>0.02</v>
      </c>
      <c r="R248" s="6">
        <v>13.73</v>
      </c>
      <c r="S248" s="6">
        <f>I248+E248</f>
        <v>1.4999999999999999E-2</v>
      </c>
      <c r="T248" s="10">
        <f>P248</f>
        <v>9.6190000000000015</v>
      </c>
      <c r="U248" s="6"/>
      <c r="V248" s="6"/>
      <c r="W248" s="6"/>
      <c r="X248" s="10"/>
      <c r="Y248" s="6"/>
      <c r="Z248" s="10"/>
      <c r="AA248" s="6"/>
      <c r="AB248" s="10"/>
      <c r="AC248" s="6"/>
      <c r="AD248" s="10"/>
      <c r="AE248" s="19"/>
      <c r="AF248" s="6"/>
      <c r="AG248" s="6"/>
      <c r="AH248" s="6"/>
      <c r="AI248" s="4">
        <f t="shared" si="82"/>
        <v>0</v>
      </c>
      <c r="AJ248" s="21">
        <f>ROUND((AH248)*1.0457,3)</f>
        <v>0</v>
      </c>
      <c r="AK248" s="6"/>
      <c r="AL248" s="10">
        <f t="shared" si="83"/>
        <v>0</v>
      </c>
      <c r="AM248" s="10"/>
      <c r="AN248" s="6">
        <v>2.1999999999999999E-2</v>
      </c>
      <c r="AO248" s="6">
        <v>15.114000000000001</v>
      </c>
      <c r="AP248" s="6">
        <v>4.2000000000000003E-2</v>
      </c>
      <c r="AQ248" s="6">
        <v>27.882000000000001</v>
      </c>
    </row>
    <row r="249" spans="1:43">
      <c r="A249" s="37" t="s">
        <v>122</v>
      </c>
      <c r="B249" s="14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>
        <v>8.0000000000000002E-3</v>
      </c>
      <c r="Z249" s="6">
        <v>3</v>
      </c>
      <c r="AA249" s="6">
        <v>8.0000000000000002E-3</v>
      </c>
      <c r="AB249" s="6">
        <v>3</v>
      </c>
      <c r="AC249" s="6"/>
      <c r="AD249" s="6"/>
      <c r="AE249" s="19"/>
      <c r="AF249" s="6">
        <v>8.0000000000000002E-3</v>
      </c>
      <c r="AG249" s="6">
        <v>3.7509999999999999</v>
      </c>
      <c r="AH249" s="6">
        <v>1.1379999999999999</v>
      </c>
      <c r="AI249" s="4">
        <f t="shared" si="82"/>
        <v>0.23</v>
      </c>
      <c r="AJ249" s="21">
        <f>ROUND((AH249)*0.8138,3)</f>
        <v>0.92600000000000005</v>
      </c>
      <c r="AK249" s="6">
        <v>1E-3</v>
      </c>
      <c r="AL249" s="10">
        <f>SUM(AG249:AK249)-0.001</f>
        <v>6.0449999999999999</v>
      </c>
      <c r="AM249" s="10"/>
      <c r="AN249" s="6">
        <v>3.0000000000000001E-3</v>
      </c>
      <c r="AO249" s="6">
        <v>2.0590000000000002</v>
      </c>
      <c r="AP249" s="6">
        <f t="shared" ref="AP249:AP256" si="85">AF249</f>
        <v>8.0000000000000002E-3</v>
      </c>
      <c r="AQ249" s="10">
        <f t="shared" ref="AQ249:AQ256" si="86">AL249</f>
        <v>6.0449999999999999</v>
      </c>
    </row>
    <row r="250" spans="1:43">
      <c r="A250" s="37" t="s">
        <v>51</v>
      </c>
      <c r="B250" s="14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>
        <v>2.1999999999999999E-2</v>
      </c>
      <c r="X250" s="6">
        <v>3.8679999999999999</v>
      </c>
      <c r="Y250" s="6"/>
      <c r="Z250" s="6"/>
      <c r="AA250" s="6"/>
      <c r="AB250" s="6"/>
      <c r="AC250" s="6"/>
      <c r="AD250" s="6"/>
      <c r="AE250" s="19"/>
      <c r="AF250" s="6">
        <v>2.4E-2</v>
      </c>
      <c r="AG250" s="6">
        <v>3.8740000000000001</v>
      </c>
      <c r="AH250" s="6">
        <v>2.9910000000000001</v>
      </c>
      <c r="AI250" s="4">
        <f t="shared" si="82"/>
        <v>0.60399999999999998</v>
      </c>
      <c r="AJ250" s="21">
        <f>ROUND((AH250)*0.8138,3)</f>
        <v>2.4340000000000002</v>
      </c>
      <c r="AK250" s="6">
        <v>3.0000000000000001E-3</v>
      </c>
      <c r="AL250" s="10">
        <f t="shared" ref="AL250:AL256" si="87">SUM(AG250:AK250)</f>
        <v>9.9060000000000006</v>
      </c>
      <c r="AM250" s="10"/>
      <c r="AN250" s="6">
        <v>1.2E-2</v>
      </c>
      <c r="AO250" s="6">
        <v>8.2439999999999998</v>
      </c>
      <c r="AP250" s="6">
        <f t="shared" si="85"/>
        <v>2.4E-2</v>
      </c>
      <c r="AQ250" s="10">
        <f t="shared" si="86"/>
        <v>9.9060000000000006</v>
      </c>
    </row>
    <row r="251" spans="1:43">
      <c r="A251" s="37" t="s">
        <v>52</v>
      </c>
      <c r="B251" s="14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19"/>
      <c r="AF251" s="6"/>
      <c r="AG251" s="6"/>
      <c r="AH251" s="6"/>
      <c r="AI251" s="4">
        <f t="shared" si="82"/>
        <v>0</v>
      </c>
      <c r="AJ251" s="21">
        <f t="shared" ref="AJ251:AJ254" si="88">ROUND((AH251)*1.0457,3)</f>
        <v>0</v>
      </c>
      <c r="AK251" s="6">
        <v>6.0019999999999998</v>
      </c>
      <c r="AL251" s="10">
        <f t="shared" si="87"/>
        <v>6.0019999999999998</v>
      </c>
      <c r="AM251" s="10"/>
      <c r="AN251" s="6">
        <v>6.0000000000000001E-3</v>
      </c>
      <c r="AO251" s="6">
        <v>4.1219999999999999</v>
      </c>
      <c r="AP251" s="6">
        <f t="shared" si="85"/>
        <v>0</v>
      </c>
      <c r="AQ251" s="10">
        <f t="shared" si="86"/>
        <v>6.0019999999999998</v>
      </c>
    </row>
    <row r="252" spans="1:43">
      <c r="A252" s="37" t="s">
        <v>53</v>
      </c>
      <c r="B252" s="14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>
        <v>1.6E-2</v>
      </c>
      <c r="X252" s="6">
        <v>3.359</v>
      </c>
      <c r="Y252" s="6"/>
      <c r="Z252" s="6"/>
      <c r="AA252" s="6"/>
      <c r="AB252" s="6"/>
      <c r="AC252" s="6"/>
      <c r="AD252" s="6"/>
      <c r="AE252" s="19"/>
      <c r="AF252" s="6">
        <v>1.6500000000000001E-2</v>
      </c>
      <c r="AG252" s="6">
        <v>3.5169999999999999</v>
      </c>
      <c r="AH252" s="6">
        <v>2.0569999999999999</v>
      </c>
      <c r="AI252" s="4">
        <f t="shared" si="82"/>
        <v>0.41599999999999998</v>
      </c>
      <c r="AJ252" s="21">
        <f>ROUND((AH252)*0.8138,3)</f>
        <v>1.6739999999999999</v>
      </c>
      <c r="AK252" s="6">
        <v>2E-3</v>
      </c>
      <c r="AL252" s="10">
        <f t="shared" si="87"/>
        <v>7.6659999999999995</v>
      </c>
      <c r="AM252" s="10"/>
      <c r="AN252" s="6">
        <v>5.0000000000000001E-3</v>
      </c>
      <c r="AO252" s="6">
        <v>3.4350000000000001</v>
      </c>
      <c r="AP252" s="6">
        <f t="shared" si="85"/>
        <v>1.6500000000000001E-2</v>
      </c>
      <c r="AQ252" s="10">
        <f t="shared" si="86"/>
        <v>7.6659999999999995</v>
      </c>
    </row>
    <row r="253" spans="1:43">
      <c r="A253" s="37" t="s">
        <v>55</v>
      </c>
      <c r="B253" s="14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19"/>
      <c r="AF253" s="6"/>
      <c r="AG253" s="6"/>
      <c r="AH253" s="6"/>
      <c r="AI253" s="4">
        <f t="shared" si="82"/>
        <v>0</v>
      </c>
      <c r="AJ253" s="21">
        <f t="shared" si="88"/>
        <v>0</v>
      </c>
      <c r="AK253" s="6"/>
      <c r="AL253" s="10">
        <f t="shared" si="87"/>
        <v>0</v>
      </c>
      <c r="AM253" s="10"/>
      <c r="AN253" s="6">
        <v>3.0000000000000001E-3</v>
      </c>
      <c r="AO253" s="6">
        <v>2.0590000000000002</v>
      </c>
      <c r="AP253" s="6">
        <v>0</v>
      </c>
      <c r="AQ253" s="26">
        <v>0</v>
      </c>
    </row>
    <row r="254" spans="1:43">
      <c r="A254" s="37" t="s">
        <v>56</v>
      </c>
      <c r="B254" s="14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19"/>
      <c r="AF254" s="6"/>
      <c r="AG254" s="6"/>
      <c r="AH254" s="6"/>
      <c r="AI254" s="4">
        <f t="shared" si="82"/>
        <v>0</v>
      </c>
      <c r="AJ254" s="21">
        <f t="shared" si="88"/>
        <v>0</v>
      </c>
      <c r="AK254" s="6"/>
      <c r="AL254" s="10">
        <f t="shared" si="87"/>
        <v>0</v>
      </c>
      <c r="AM254" s="10"/>
      <c r="AN254" s="6">
        <v>2E-3</v>
      </c>
      <c r="AO254" s="6">
        <v>1.3740000000000001</v>
      </c>
      <c r="AP254" s="6">
        <v>0</v>
      </c>
      <c r="AQ254" s="26">
        <v>0</v>
      </c>
    </row>
    <row r="255" spans="1:43">
      <c r="A255" s="37" t="s">
        <v>27</v>
      </c>
      <c r="B255" s="14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>
        <v>3.3000000000000002E-2</v>
      </c>
      <c r="X255" s="6">
        <v>11.423</v>
      </c>
      <c r="Y255" s="6"/>
      <c r="Z255" s="6"/>
      <c r="AA255" s="6"/>
      <c r="AB255" s="6"/>
      <c r="AC255" s="6"/>
      <c r="AD255" s="6"/>
      <c r="AE255" s="19"/>
      <c r="AF255" s="6">
        <v>3.3000000000000002E-2</v>
      </c>
      <c r="AG255" s="6">
        <v>11.398</v>
      </c>
      <c r="AH255" s="6">
        <v>4.4909999999999997</v>
      </c>
      <c r="AI255" s="4">
        <f t="shared" si="82"/>
        <v>0.90700000000000003</v>
      </c>
      <c r="AJ255" s="21">
        <f>ROUND((AH255)*0.8138,3)</f>
        <v>3.6549999999999998</v>
      </c>
      <c r="AK255" s="6">
        <v>9.4E-2</v>
      </c>
      <c r="AL255" s="10">
        <f t="shared" si="87"/>
        <v>20.545000000000002</v>
      </c>
      <c r="AM255" s="10"/>
      <c r="AN255" s="6">
        <v>4.0000000000000001E-3</v>
      </c>
      <c r="AO255" s="6">
        <v>2.7480000000000002</v>
      </c>
      <c r="AP255" s="6">
        <f t="shared" si="85"/>
        <v>3.3000000000000002E-2</v>
      </c>
      <c r="AQ255" s="10">
        <f t="shared" si="86"/>
        <v>20.545000000000002</v>
      </c>
    </row>
    <row r="256" spans="1:43">
      <c r="A256" s="37" t="s">
        <v>29</v>
      </c>
      <c r="B256" s="14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>
        <v>2.8000000000000001E-2</v>
      </c>
      <c r="X256" s="6">
        <v>10.239000000000001</v>
      </c>
      <c r="Y256" s="6"/>
      <c r="Z256" s="6"/>
      <c r="AA256" s="6"/>
      <c r="AB256" s="6"/>
      <c r="AC256" s="6"/>
      <c r="AD256" s="6"/>
      <c r="AE256" s="19"/>
      <c r="AF256" s="6">
        <v>2.8000000000000001E-2</v>
      </c>
      <c r="AG256" s="6">
        <v>9.7620000000000005</v>
      </c>
      <c r="AH256" s="6">
        <v>3.8679999999999999</v>
      </c>
      <c r="AI256" s="4">
        <f t="shared" si="82"/>
        <v>0.78100000000000003</v>
      </c>
      <c r="AJ256" s="21">
        <f>ROUND((AH256)*0.8138,3)</f>
        <v>3.1480000000000001</v>
      </c>
      <c r="AK256" s="6">
        <v>9.2999999999999999E-2</v>
      </c>
      <c r="AL256" s="10">
        <f t="shared" si="87"/>
        <v>17.652000000000001</v>
      </c>
      <c r="AM256" s="10"/>
      <c r="AN256" s="6">
        <v>3.0000000000000001E-3</v>
      </c>
      <c r="AO256" s="6">
        <v>2.0590000000000002</v>
      </c>
      <c r="AP256" s="6">
        <f t="shared" si="85"/>
        <v>2.8000000000000001E-2</v>
      </c>
      <c r="AQ256" s="10">
        <f t="shared" si="86"/>
        <v>17.652000000000001</v>
      </c>
    </row>
    <row r="257" spans="1:43">
      <c r="A257" s="39" t="s">
        <v>69</v>
      </c>
      <c r="B257" s="33" t="s">
        <v>35</v>
      </c>
      <c r="C257" s="30">
        <v>0.01</v>
      </c>
      <c r="D257" s="30">
        <v>7.5</v>
      </c>
      <c r="E257" s="44">
        <f>SUM(E258:E270)</f>
        <v>6.0000000000000001E-3</v>
      </c>
      <c r="F257" s="30">
        <f>SUM(F258:F269)</f>
        <v>1.7080000000000002</v>
      </c>
      <c r="G257" s="30">
        <v>0.01</v>
      </c>
      <c r="H257" s="30">
        <v>7.5</v>
      </c>
      <c r="I257" s="44">
        <f>SUM(I258:I270)</f>
        <v>4.0000000000000001E-3</v>
      </c>
      <c r="J257" s="30">
        <f>SUM(J258:J269)</f>
        <v>1.97</v>
      </c>
      <c r="K257" s="44">
        <f t="shared" ref="K257:R257" si="89">SUM(K258:K270)</f>
        <v>1.9169999999999998</v>
      </c>
      <c r="L257" s="44">
        <f t="shared" si="89"/>
        <v>1.2469999999999999</v>
      </c>
      <c r="M257" s="44">
        <f t="shared" si="89"/>
        <v>0.252</v>
      </c>
      <c r="N257" s="44">
        <f t="shared" si="89"/>
        <v>1.304</v>
      </c>
      <c r="O257" s="44">
        <f t="shared" si="89"/>
        <v>0</v>
      </c>
      <c r="P257" s="44">
        <f t="shared" si="89"/>
        <v>4.7200000000000006</v>
      </c>
      <c r="Q257" s="44">
        <f t="shared" si="89"/>
        <v>0.01</v>
      </c>
      <c r="R257" s="49">
        <f t="shared" si="89"/>
        <v>7.5</v>
      </c>
      <c r="S257" s="30" t="e">
        <f>SUM(S258:S270)-S267-S261</f>
        <v>#REF!</v>
      </c>
      <c r="T257" s="30" t="e">
        <f>SUM(T258:T270)-T267-T261</f>
        <v>#REF!</v>
      </c>
      <c r="U257" s="30"/>
      <c r="V257" s="30"/>
      <c r="W257" s="30">
        <f t="shared" ref="W257:AD257" si="90">SUM(W258:W270)-W267-W261</f>
        <v>6.0000000000000001E-3</v>
      </c>
      <c r="X257" s="30">
        <f t="shared" si="90"/>
        <v>0.49</v>
      </c>
      <c r="Y257" s="30">
        <f t="shared" si="90"/>
        <v>0.01</v>
      </c>
      <c r="Z257" s="30">
        <f t="shared" si="90"/>
        <v>1.206</v>
      </c>
      <c r="AA257" s="30">
        <f t="shared" si="90"/>
        <v>0.01</v>
      </c>
      <c r="AB257" s="30">
        <f t="shared" si="90"/>
        <v>1.206</v>
      </c>
      <c r="AC257" s="30">
        <f t="shared" si="90"/>
        <v>0</v>
      </c>
      <c r="AD257" s="30">
        <f t="shared" si="90"/>
        <v>0</v>
      </c>
      <c r="AE257" s="31"/>
      <c r="AF257" s="30">
        <f>SUM(AF258:AF270)-AF267-AF261</f>
        <v>1.8500000000000003E-2</v>
      </c>
      <c r="AG257" s="44">
        <f t="shared" ref="AG257:AL257" si="91">SUM(AG258:AG270)</f>
        <v>4.0120000000000005</v>
      </c>
      <c r="AH257" s="44">
        <f t="shared" si="91"/>
        <v>2.306</v>
      </c>
      <c r="AI257" s="44">
        <f t="shared" si="91"/>
        <v>0.46600000000000003</v>
      </c>
      <c r="AJ257" s="44">
        <f t="shared" si="91"/>
        <v>1.877</v>
      </c>
      <c r="AK257" s="44">
        <f t="shared" si="91"/>
        <v>1E-3</v>
      </c>
      <c r="AL257" s="44">
        <f t="shared" si="91"/>
        <v>8.6640000000000015</v>
      </c>
      <c r="AM257" s="44"/>
      <c r="AN257" s="44">
        <f>SUM(AN258:AN270)</f>
        <v>4.9999999999999996E-2</v>
      </c>
      <c r="AO257" s="49">
        <f>SUM(AO258:AO270)</f>
        <v>37.5</v>
      </c>
      <c r="AP257" s="30">
        <v>5.0500000000000003E-2</v>
      </c>
      <c r="AQ257" s="30">
        <v>23.62</v>
      </c>
    </row>
    <row r="258" spans="1:43">
      <c r="A258" s="37" t="s">
        <v>131</v>
      </c>
      <c r="B258" s="14"/>
      <c r="C258" s="6"/>
      <c r="D258" s="6"/>
      <c r="E258" s="6"/>
      <c r="F258" s="6"/>
      <c r="G258" s="6"/>
      <c r="H258" s="6"/>
      <c r="I258" s="6">
        <v>1E-3</v>
      </c>
      <c r="J258" s="6">
        <v>0.752</v>
      </c>
      <c r="K258" s="6">
        <v>0.501</v>
      </c>
      <c r="L258" s="6">
        <v>0.125</v>
      </c>
      <c r="M258" s="4">
        <f>ROUND((L258)*0.202,3)</f>
        <v>2.5000000000000001E-2</v>
      </c>
      <c r="N258" s="21">
        <f>ROUND((L258)*1.0457,3)</f>
        <v>0.13100000000000001</v>
      </c>
      <c r="O258" s="6"/>
      <c r="P258" s="10">
        <f>SUM(K258:O258)</f>
        <v>0.78200000000000003</v>
      </c>
      <c r="Q258" s="6">
        <v>5.0000000000000001E-3</v>
      </c>
      <c r="R258" s="6">
        <v>3.75</v>
      </c>
      <c r="S258" s="6">
        <f>I258+E258</f>
        <v>1E-3</v>
      </c>
      <c r="T258" s="10">
        <f>P258</f>
        <v>0.78200000000000003</v>
      </c>
      <c r="U258" s="6"/>
      <c r="V258" s="6"/>
      <c r="W258" s="6"/>
      <c r="X258" s="10"/>
      <c r="Y258" s="6"/>
      <c r="Z258" s="10"/>
      <c r="AA258" s="6"/>
      <c r="AB258" s="10"/>
      <c r="AC258" s="6"/>
      <c r="AD258" s="10"/>
      <c r="AE258" s="19"/>
      <c r="AF258" s="6"/>
      <c r="AG258" s="6"/>
      <c r="AH258" s="6"/>
      <c r="AI258" s="4">
        <f t="shared" ref="AI258:AI264" si="92">ROUND((AH258)*0.202,3)</f>
        <v>0</v>
      </c>
      <c r="AJ258" s="21">
        <f t="shared" ref="AJ258:AJ261" si="93">ROUND((AH258)*1.0457,3)</f>
        <v>0</v>
      </c>
      <c r="AK258" s="6"/>
      <c r="AL258" s="10">
        <f t="shared" ref="AL258:AL264" si="94">SUM(AG258:AK258)</f>
        <v>0</v>
      </c>
      <c r="AM258" s="10"/>
      <c r="AN258" s="6">
        <v>5.0000000000000001E-3</v>
      </c>
      <c r="AO258" s="6">
        <v>3.75</v>
      </c>
      <c r="AP258" s="6">
        <f t="shared" ref="AP258:AQ270" si="95">S258</f>
        <v>1E-3</v>
      </c>
      <c r="AQ258" s="6">
        <f t="shared" si="95"/>
        <v>0.78200000000000003</v>
      </c>
    </row>
    <row r="259" spans="1:43">
      <c r="A259" s="37" t="s">
        <v>120</v>
      </c>
      <c r="B259" s="14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4"/>
      <c r="N259" s="21"/>
      <c r="O259" s="6"/>
      <c r="P259" s="10"/>
      <c r="Q259" s="6"/>
      <c r="R259" s="6"/>
      <c r="S259" s="6"/>
      <c r="T259" s="10"/>
      <c r="U259" s="6"/>
      <c r="V259" s="6"/>
      <c r="W259" s="6"/>
      <c r="X259" s="10"/>
      <c r="Y259" s="6"/>
      <c r="Z259" s="10"/>
      <c r="AA259" s="6"/>
      <c r="AB259" s="10"/>
      <c r="AC259" s="6"/>
      <c r="AD259" s="10"/>
      <c r="AE259" s="19"/>
      <c r="AF259" s="6">
        <v>2E-3</v>
      </c>
      <c r="AG259" s="6">
        <v>1.006</v>
      </c>
      <c r="AH259" s="6">
        <v>0.249</v>
      </c>
      <c r="AI259" s="4">
        <f t="shared" si="92"/>
        <v>0.05</v>
      </c>
      <c r="AJ259" s="21">
        <f t="shared" ref="AJ259" si="96">ROUND((AH259)*0.8138,3)</f>
        <v>0.20300000000000001</v>
      </c>
      <c r="AK259" s="6"/>
      <c r="AL259" s="10">
        <f>SUM(AG259:AK259)+0.001</f>
        <v>1.5089999999999999</v>
      </c>
      <c r="AM259" s="10"/>
      <c r="AN259" s="6">
        <v>0</v>
      </c>
      <c r="AO259" s="6">
        <v>0</v>
      </c>
      <c r="AP259" s="6">
        <f>AF259</f>
        <v>2E-3</v>
      </c>
      <c r="AQ259" s="10">
        <f>AL259</f>
        <v>1.5089999999999999</v>
      </c>
    </row>
    <row r="260" spans="1:43" s="9" customFormat="1">
      <c r="A260" s="37" t="s">
        <v>132</v>
      </c>
      <c r="B260" s="14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4"/>
      <c r="N260" s="21"/>
      <c r="O260" s="6"/>
      <c r="P260" s="10"/>
      <c r="Q260" s="6"/>
      <c r="R260" s="6"/>
      <c r="S260" s="6"/>
      <c r="T260" s="10"/>
      <c r="U260" s="6"/>
      <c r="V260" s="6"/>
      <c r="W260" s="6"/>
      <c r="X260" s="10"/>
      <c r="Y260" s="6"/>
      <c r="Z260" s="10"/>
      <c r="AA260" s="6"/>
      <c r="AB260" s="10"/>
      <c r="AC260" s="6"/>
      <c r="AD260" s="10"/>
      <c r="AE260" s="19"/>
      <c r="AF260" s="6"/>
      <c r="AG260" s="6"/>
      <c r="AH260" s="6"/>
      <c r="AI260" s="4"/>
      <c r="AJ260" s="21"/>
      <c r="AK260" s="6"/>
      <c r="AL260" s="10"/>
      <c r="AM260" s="10"/>
      <c r="AN260" s="6">
        <v>0.01</v>
      </c>
      <c r="AO260" s="6">
        <v>7.5</v>
      </c>
      <c r="AP260" s="6">
        <v>8.9999999999999993E-3</v>
      </c>
      <c r="AQ260" s="6">
        <v>4.2450000000000001</v>
      </c>
    </row>
    <row r="261" spans="1:43" s="9" customFormat="1">
      <c r="A261" s="37" t="s">
        <v>121</v>
      </c>
      <c r="B261" s="14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4"/>
      <c r="N261" s="21"/>
      <c r="O261" s="6"/>
      <c r="P261" s="10"/>
      <c r="Q261" s="6"/>
      <c r="R261" s="6"/>
      <c r="S261" s="6" t="e">
        <f>#REF!+#REF!</f>
        <v>#REF!</v>
      </c>
      <c r="T261" s="6" t="e">
        <f>#REF!+#REF!</f>
        <v>#REF!</v>
      </c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4">
        <f t="shared" si="92"/>
        <v>0</v>
      </c>
      <c r="AJ261" s="21">
        <f t="shared" si="93"/>
        <v>0</v>
      </c>
      <c r="AK261" s="6"/>
      <c r="AL261" s="10">
        <f t="shared" si="94"/>
        <v>0</v>
      </c>
      <c r="AM261" s="10"/>
      <c r="AN261" s="6">
        <v>0</v>
      </c>
      <c r="AO261" s="6">
        <v>0</v>
      </c>
      <c r="AP261" s="6">
        <v>3.0000000000000001E-3</v>
      </c>
      <c r="AQ261" s="6">
        <v>1.476</v>
      </c>
    </row>
    <row r="262" spans="1:43">
      <c r="A262" s="37" t="s">
        <v>141</v>
      </c>
      <c r="B262" s="14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4"/>
      <c r="N262" s="21"/>
      <c r="O262" s="6"/>
      <c r="P262" s="10"/>
      <c r="Q262" s="6"/>
      <c r="R262" s="6"/>
      <c r="S262" s="6"/>
      <c r="T262" s="10"/>
      <c r="U262" s="6"/>
      <c r="V262" s="6"/>
      <c r="W262" s="6">
        <v>3.5000000000000001E-3</v>
      </c>
      <c r="X262" s="10">
        <v>0.34</v>
      </c>
      <c r="Y262" s="6"/>
      <c r="Z262" s="10"/>
      <c r="AA262" s="6"/>
      <c r="AB262" s="10"/>
      <c r="AC262" s="6"/>
      <c r="AD262" s="10"/>
      <c r="AE262" s="19"/>
      <c r="AF262" s="6">
        <v>4.0000000000000001E-3</v>
      </c>
      <c r="AG262" s="6">
        <v>0.53</v>
      </c>
      <c r="AH262" s="6">
        <v>0.499</v>
      </c>
      <c r="AI262" s="4">
        <f t="shared" si="92"/>
        <v>0.10100000000000001</v>
      </c>
      <c r="AJ262" s="21">
        <f>ROUND((AH262)*0.8138,3)</f>
        <v>0.40600000000000003</v>
      </c>
      <c r="AK262" s="6"/>
      <c r="AL262" s="10">
        <f t="shared" si="94"/>
        <v>1.536</v>
      </c>
      <c r="AM262" s="10"/>
      <c r="AN262" s="6">
        <v>0</v>
      </c>
      <c r="AO262" s="6">
        <v>0</v>
      </c>
      <c r="AP262" s="6">
        <f>AF262</f>
        <v>4.0000000000000001E-3</v>
      </c>
      <c r="AQ262" s="10">
        <f>AL262</f>
        <v>1.536</v>
      </c>
    </row>
    <row r="263" spans="1:43">
      <c r="A263" s="37" t="s">
        <v>143</v>
      </c>
      <c r="B263" s="14"/>
      <c r="C263" s="6"/>
      <c r="D263" s="6"/>
      <c r="E263" s="6">
        <v>1E-3</v>
      </c>
      <c r="F263" s="6">
        <v>0.51300000000000001</v>
      </c>
      <c r="G263" s="6"/>
      <c r="H263" s="6"/>
      <c r="I263" s="6"/>
      <c r="J263" s="6"/>
      <c r="K263" s="6">
        <v>0.26200000000000001</v>
      </c>
      <c r="L263" s="6">
        <v>0.125</v>
      </c>
      <c r="M263" s="4">
        <f>ROUND((L263)*0.202,3)</f>
        <v>2.5000000000000001E-2</v>
      </c>
      <c r="N263" s="21">
        <f>ROUND((L263)*1.0457,3)</f>
        <v>0.13100000000000001</v>
      </c>
      <c r="O263" s="6"/>
      <c r="P263" s="10">
        <f>SUM(K263:O263)</f>
        <v>0.54300000000000004</v>
      </c>
      <c r="Q263" s="6"/>
      <c r="R263" s="6"/>
      <c r="S263" s="6">
        <f>I263+E263</f>
        <v>1E-3</v>
      </c>
      <c r="T263" s="10">
        <f>P263</f>
        <v>0.54300000000000004</v>
      </c>
      <c r="U263" s="6"/>
      <c r="V263" s="6"/>
      <c r="W263" s="6"/>
      <c r="X263" s="10"/>
      <c r="Y263" s="6"/>
      <c r="Z263" s="10"/>
      <c r="AA263" s="6"/>
      <c r="AB263" s="10"/>
      <c r="AC263" s="6"/>
      <c r="AD263" s="10"/>
      <c r="AE263" s="6"/>
      <c r="AF263" s="6"/>
      <c r="AG263" s="6"/>
      <c r="AH263" s="6"/>
      <c r="AI263" s="4"/>
      <c r="AJ263" s="21"/>
      <c r="AK263" s="6"/>
      <c r="AL263" s="10">
        <f t="shared" si="94"/>
        <v>0</v>
      </c>
      <c r="AM263" s="10"/>
      <c r="AN263" s="6">
        <v>3.0000000000000001E-3</v>
      </c>
      <c r="AO263" s="6">
        <v>2.25</v>
      </c>
      <c r="AP263" s="6">
        <f t="shared" si="95"/>
        <v>1E-3</v>
      </c>
      <c r="AQ263" s="6">
        <f t="shared" si="95"/>
        <v>0.54300000000000004</v>
      </c>
    </row>
    <row r="264" spans="1:43">
      <c r="A264" s="37" t="s">
        <v>123</v>
      </c>
      <c r="B264" s="14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4"/>
      <c r="N264" s="21"/>
      <c r="O264" s="6"/>
      <c r="P264" s="10"/>
      <c r="Q264" s="6"/>
      <c r="R264" s="6"/>
      <c r="S264" s="6"/>
      <c r="T264" s="10"/>
      <c r="U264" s="6"/>
      <c r="V264" s="6"/>
      <c r="W264" s="6"/>
      <c r="X264" s="10"/>
      <c r="Y264" s="6"/>
      <c r="Z264" s="10"/>
      <c r="AA264" s="6"/>
      <c r="AB264" s="10"/>
      <c r="AC264" s="6"/>
      <c r="AD264" s="10"/>
      <c r="AE264" s="6"/>
      <c r="AF264" s="6">
        <v>2.5000000000000001E-3</v>
      </c>
      <c r="AG264" s="6">
        <v>0.499</v>
      </c>
      <c r="AH264" s="6">
        <v>0.312</v>
      </c>
      <c r="AI264" s="4">
        <f t="shared" si="92"/>
        <v>6.3E-2</v>
      </c>
      <c r="AJ264" s="21">
        <f>ROUND((AH264)*0.8138,3)</f>
        <v>0.254</v>
      </c>
      <c r="AK264" s="6"/>
      <c r="AL264" s="10">
        <f t="shared" si="94"/>
        <v>1.1279999999999999</v>
      </c>
      <c r="AM264" s="10"/>
      <c r="AN264" s="6">
        <v>2E-3</v>
      </c>
      <c r="AO264" s="6">
        <v>1.5</v>
      </c>
      <c r="AP264" s="6">
        <f>AF264</f>
        <v>2.5000000000000001E-3</v>
      </c>
      <c r="AQ264" s="10">
        <f>AL264</f>
        <v>1.1279999999999999</v>
      </c>
    </row>
    <row r="265" spans="1:43">
      <c r="A265" s="37" t="s">
        <v>146</v>
      </c>
      <c r="B265" s="14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4">
        <f>ROUND((L265)*0.202,3)</f>
        <v>0</v>
      </c>
      <c r="N265" s="21">
        <f>ROUND((L265)*1.0457,3)</f>
        <v>0</v>
      </c>
      <c r="O265" s="6"/>
      <c r="P265" s="10">
        <f>SUM(K265:O265)</f>
        <v>0</v>
      </c>
      <c r="Q265" s="6"/>
      <c r="R265" s="6"/>
      <c r="S265" s="6">
        <f>I265+E265</f>
        <v>0</v>
      </c>
      <c r="T265" s="10">
        <f>P265</f>
        <v>0</v>
      </c>
      <c r="U265" s="6"/>
      <c r="V265" s="6"/>
      <c r="W265" s="6">
        <v>2.5000000000000001E-3</v>
      </c>
      <c r="X265" s="10">
        <v>0.15</v>
      </c>
      <c r="Y265" s="6"/>
      <c r="Z265" s="10"/>
      <c r="AA265" s="6"/>
      <c r="AB265" s="10"/>
      <c r="AC265" s="6"/>
      <c r="AD265" s="10"/>
      <c r="AE265" s="6"/>
      <c r="AF265" s="6"/>
      <c r="AG265" s="6"/>
      <c r="AH265" s="6"/>
      <c r="AI265" s="4">
        <f>ROUND((AH265)*0.202,3)</f>
        <v>0</v>
      </c>
      <c r="AJ265" s="21">
        <f t="shared" ref="AJ265:AJ269" si="97">ROUND((AH265)*0.8138,3)</f>
        <v>0</v>
      </c>
      <c r="AK265" s="6"/>
      <c r="AL265" s="10">
        <f>SUM(AG265:AK265)</f>
        <v>0</v>
      </c>
      <c r="AM265" s="10"/>
      <c r="AN265" s="6">
        <v>5.0000000000000001E-3</v>
      </c>
      <c r="AO265" s="6">
        <v>3.75</v>
      </c>
      <c r="AP265" s="6">
        <v>0</v>
      </c>
      <c r="AQ265" s="6">
        <v>0</v>
      </c>
    </row>
    <row r="266" spans="1:43">
      <c r="A266" s="37" t="s">
        <v>135</v>
      </c>
      <c r="B266" s="14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4"/>
      <c r="N266" s="21"/>
      <c r="O266" s="6"/>
      <c r="P266" s="10"/>
      <c r="Q266" s="6"/>
      <c r="R266" s="6"/>
      <c r="S266" s="6"/>
      <c r="T266" s="10"/>
      <c r="U266" s="6"/>
      <c r="V266" s="6"/>
      <c r="W266" s="6"/>
      <c r="X266" s="10"/>
      <c r="Y266" s="6">
        <v>0.01</v>
      </c>
      <c r="Z266" s="10">
        <v>1.206</v>
      </c>
      <c r="AA266" s="6">
        <v>0.01</v>
      </c>
      <c r="AB266" s="10">
        <v>1.206</v>
      </c>
      <c r="AC266" s="6"/>
      <c r="AD266" s="10"/>
      <c r="AE266" s="6"/>
      <c r="AF266" s="6">
        <v>0.01</v>
      </c>
      <c r="AG266" s="6">
        <v>1.9770000000000001</v>
      </c>
      <c r="AH266" s="6">
        <v>1.246</v>
      </c>
      <c r="AI266" s="4">
        <f t="shared" ref="AI266:AI270" si="98">ROUND((AH266)*0.202,3)</f>
        <v>0.252</v>
      </c>
      <c r="AJ266" s="21">
        <f t="shared" si="97"/>
        <v>1.014</v>
      </c>
      <c r="AK266" s="6">
        <v>1E-3</v>
      </c>
      <c r="AL266" s="10">
        <f>SUM(AG266:AK266)+0.001</f>
        <v>4.4910000000000005</v>
      </c>
      <c r="AM266" s="10"/>
      <c r="AN266" s="6">
        <v>7.0000000000000001E-3</v>
      </c>
      <c r="AO266" s="6">
        <v>5.25</v>
      </c>
      <c r="AP266" s="6">
        <f>AF266</f>
        <v>0.01</v>
      </c>
      <c r="AQ266" s="10">
        <f>AL266</f>
        <v>4.4910000000000005</v>
      </c>
    </row>
    <row r="267" spans="1:43" s="9" customFormat="1">
      <c r="A267" s="37" t="s">
        <v>125</v>
      </c>
      <c r="B267" s="14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4"/>
      <c r="N267" s="21"/>
      <c r="O267" s="6"/>
      <c r="P267" s="10"/>
      <c r="Q267" s="6"/>
      <c r="R267" s="6"/>
      <c r="S267" s="6" t="e">
        <f>#REF!+#REF!</f>
        <v>#REF!</v>
      </c>
      <c r="T267" s="6" t="e">
        <f>#REF!+#REF!</f>
        <v>#REF!</v>
      </c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4">
        <f t="shared" si="98"/>
        <v>0</v>
      </c>
      <c r="AJ267" s="21">
        <f t="shared" si="97"/>
        <v>0</v>
      </c>
      <c r="AK267" s="6"/>
      <c r="AL267" s="10">
        <f t="shared" ref="AL267:AL270" si="99">SUM(AG267:AK267)</f>
        <v>0</v>
      </c>
      <c r="AM267" s="10"/>
      <c r="AN267" s="6">
        <v>3.0000000000000001E-3</v>
      </c>
      <c r="AO267" s="6">
        <v>2.25</v>
      </c>
      <c r="AP267" s="6">
        <v>2E-3</v>
      </c>
      <c r="AQ267" s="6">
        <v>0.316</v>
      </c>
    </row>
    <row r="268" spans="1:43">
      <c r="A268" s="37" t="s">
        <v>128</v>
      </c>
      <c r="B268" s="14"/>
      <c r="C268" s="6"/>
      <c r="D268" s="6"/>
      <c r="E268" s="6">
        <v>3.0000000000000001E-3</v>
      </c>
      <c r="F268" s="6">
        <v>1.1950000000000001</v>
      </c>
      <c r="G268" s="6"/>
      <c r="H268" s="6"/>
      <c r="I268" s="6"/>
      <c r="J268" s="6"/>
      <c r="K268" s="6">
        <v>0.441</v>
      </c>
      <c r="L268" s="6">
        <v>0.374</v>
      </c>
      <c r="M268" s="4">
        <f t="shared" ref="M268:M270" si="100">ROUND((L268)*0.202,3)</f>
        <v>7.5999999999999998E-2</v>
      </c>
      <c r="N268" s="21">
        <f t="shared" ref="N268:N270" si="101">ROUND((L268)*1.0457,3)</f>
        <v>0.39100000000000001</v>
      </c>
      <c r="O268" s="6"/>
      <c r="P268" s="10">
        <f t="shared" ref="P268:P270" si="102">SUM(K268:O268)</f>
        <v>1.282</v>
      </c>
      <c r="Q268" s="6"/>
      <c r="R268" s="6"/>
      <c r="S268" s="6">
        <f t="shared" ref="S268:S270" si="103">I268+E268</f>
        <v>3.0000000000000001E-3</v>
      </c>
      <c r="T268" s="10">
        <f t="shared" ref="T268:T270" si="104">P268</f>
        <v>1.282</v>
      </c>
      <c r="U268" s="6"/>
      <c r="V268" s="6"/>
      <c r="W268" s="6"/>
      <c r="X268" s="10"/>
      <c r="Y268" s="6"/>
      <c r="Z268" s="10"/>
      <c r="AA268" s="6"/>
      <c r="AB268" s="10"/>
      <c r="AC268" s="6"/>
      <c r="AD268" s="10"/>
      <c r="AE268" s="6"/>
      <c r="AF268" s="6"/>
      <c r="AG268" s="6"/>
      <c r="AH268" s="6"/>
      <c r="AI268" s="4">
        <f t="shared" si="98"/>
        <v>0</v>
      </c>
      <c r="AJ268" s="21">
        <f t="shared" si="97"/>
        <v>0</v>
      </c>
      <c r="AK268" s="6"/>
      <c r="AL268" s="10">
        <f t="shared" si="99"/>
        <v>0</v>
      </c>
      <c r="AM268" s="10"/>
      <c r="AN268" s="6">
        <v>5.0000000000000001E-3</v>
      </c>
      <c r="AO268" s="6">
        <v>3.75</v>
      </c>
      <c r="AP268" s="6">
        <f t="shared" si="95"/>
        <v>3.0000000000000001E-3</v>
      </c>
      <c r="AQ268" s="6">
        <f t="shared" si="95"/>
        <v>1.282</v>
      </c>
    </row>
    <row r="269" spans="1:43">
      <c r="A269" s="37" t="s">
        <v>129</v>
      </c>
      <c r="B269" s="14"/>
      <c r="C269" s="6"/>
      <c r="D269" s="6"/>
      <c r="E269" s="6"/>
      <c r="F269" s="6"/>
      <c r="G269" s="6"/>
      <c r="H269" s="6"/>
      <c r="I269" s="6">
        <v>3.0000000000000001E-3</v>
      </c>
      <c r="J269" s="6">
        <v>1.218</v>
      </c>
      <c r="K269" s="6">
        <v>0.46400000000000002</v>
      </c>
      <c r="L269" s="6">
        <v>0.374</v>
      </c>
      <c r="M269" s="4">
        <f t="shared" si="100"/>
        <v>7.5999999999999998E-2</v>
      </c>
      <c r="N269" s="21">
        <f t="shared" si="101"/>
        <v>0.39100000000000001</v>
      </c>
      <c r="O269" s="6"/>
      <c r="P269" s="10">
        <f t="shared" si="102"/>
        <v>1.3050000000000002</v>
      </c>
      <c r="Q269" s="6"/>
      <c r="R269" s="6"/>
      <c r="S269" s="6">
        <f t="shared" si="103"/>
        <v>3.0000000000000001E-3</v>
      </c>
      <c r="T269" s="10">
        <f t="shared" si="104"/>
        <v>1.3050000000000002</v>
      </c>
      <c r="U269" s="6"/>
      <c r="V269" s="6"/>
      <c r="W269" s="6"/>
      <c r="X269" s="10"/>
      <c r="Y269" s="6"/>
      <c r="Z269" s="10"/>
      <c r="AA269" s="6"/>
      <c r="AB269" s="10"/>
      <c r="AC269" s="6"/>
      <c r="AD269" s="10"/>
      <c r="AE269" s="6"/>
      <c r="AF269" s="6"/>
      <c r="AG269" s="6"/>
      <c r="AH269" s="6"/>
      <c r="AI269" s="4">
        <f t="shared" si="98"/>
        <v>0</v>
      </c>
      <c r="AJ269" s="21">
        <f t="shared" si="97"/>
        <v>0</v>
      </c>
      <c r="AK269" s="6"/>
      <c r="AL269" s="10">
        <f t="shared" si="99"/>
        <v>0</v>
      </c>
      <c r="AM269" s="10"/>
      <c r="AN269" s="6">
        <v>5.0000000000000001E-3</v>
      </c>
      <c r="AO269" s="6">
        <v>3.75</v>
      </c>
      <c r="AP269" s="6">
        <v>1.0999999999999999E-2</v>
      </c>
      <c r="AQ269" s="6">
        <v>5.5039999999999996</v>
      </c>
    </row>
    <row r="270" spans="1:43">
      <c r="A270" s="37" t="s">
        <v>76</v>
      </c>
      <c r="B270" s="14"/>
      <c r="C270" s="6"/>
      <c r="D270" s="6"/>
      <c r="E270" s="6">
        <v>2E-3</v>
      </c>
      <c r="F270" s="6">
        <v>0.752</v>
      </c>
      <c r="G270" s="6"/>
      <c r="H270" s="6"/>
      <c r="I270" s="6"/>
      <c r="J270" s="6"/>
      <c r="K270" s="6">
        <v>0.249</v>
      </c>
      <c r="L270" s="6">
        <v>0.249</v>
      </c>
      <c r="M270" s="4">
        <f t="shared" si="100"/>
        <v>0.05</v>
      </c>
      <c r="N270" s="21">
        <f t="shared" si="101"/>
        <v>0.26</v>
      </c>
      <c r="O270" s="6"/>
      <c r="P270" s="10">
        <f t="shared" si="102"/>
        <v>0.80800000000000005</v>
      </c>
      <c r="Q270" s="6">
        <v>5.0000000000000001E-3</v>
      </c>
      <c r="R270" s="6">
        <v>3.75</v>
      </c>
      <c r="S270" s="6">
        <f t="shared" si="103"/>
        <v>2E-3</v>
      </c>
      <c r="T270" s="10">
        <f t="shared" si="104"/>
        <v>0.80800000000000005</v>
      </c>
      <c r="U270" s="6"/>
      <c r="V270" s="6"/>
      <c r="W270" s="6"/>
      <c r="X270" s="10"/>
      <c r="Y270" s="6"/>
      <c r="Z270" s="10"/>
      <c r="AA270" s="6"/>
      <c r="AB270" s="10"/>
      <c r="AC270" s="6"/>
      <c r="AD270" s="10"/>
      <c r="AE270" s="6"/>
      <c r="AF270" s="6"/>
      <c r="AG270" s="6"/>
      <c r="AH270" s="6"/>
      <c r="AI270" s="4">
        <f t="shared" si="98"/>
        <v>0</v>
      </c>
      <c r="AJ270" s="21">
        <f t="shared" ref="AJ270" si="105">ROUND((AH270)*1.0457,3)</f>
        <v>0</v>
      </c>
      <c r="AK270" s="6"/>
      <c r="AL270" s="10">
        <f t="shared" si="99"/>
        <v>0</v>
      </c>
      <c r="AM270" s="10"/>
      <c r="AN270" s="6">
        <v>5.0000000000000001E-3</v>
      </c>
      <c r="AO270" s="6">
        <v>3.75</v>
      </c>
      <c r="AP270" s="6">
        <f t="shared" si="95"/>
        <v>2E-3</v>
      </c>
      <c r="AQ270" s="6">
        <f t="shared" si="95"/>
        <v>0.80800000000000005</v>
      </c>
    </row>
    <row r="271" spans="1:43" ht="12">
      <c r="A271" s="39" t="s">
        <v>70</v>
      </c>
      <c r="B271" s="33" t="s">
        <v>20</v>
      </c>
      <c r="C271" s="30">
        <v>21</v>
      </c>
      <c r="D271" s="30">
        <v>317.5</v>
      </c>
      <c r="E271" s="30">
        <f>SUM(E272:E297)</f>
        <v>18</v>
      </c>
      <c r="F271" s="30">
        <f>SUM(F272:F298)</f>
        <v>4.2989999999999995</v>
      </c>
      <c r="G271" s="30">
        <v>21</v>
      </c>
      <c r="H271" s="30">
        <v>317.5</v>
      </c>
      <c r="I271" s="30">
        <f>SUM(I272:I297)</f>
        <v>94.12</v>
      </c>
      <c r="J271" s="30">
        <f>SUM(J272:J298)</f>
        <v>235.30000000000004</v>
      </c>
      <c r="K271" s="30">
        <f t="shared" ref="K271:P271" si="106">SUM(K272:K297)</f>
        <v>1.8339999999999996</v>
      </c>
      <c r="L271" s="30">
        <f t="shared" si="106"/>
        <v>1.1990000000000003</v>
      </c>
      <c r="M271" s="30">
        <f t="shared" si="106"/>
        <v>0.24100000000000005</v>
      </c>
      <c r="N271" s="30">
        <f t="shared" si="106"/>
        <v>1.256</v>
      </c>
      <c r="O271" s="30">
        <f t="shared" si="106"/>
        <v>5.7000000000000009E-2</v>
      </c>
      <c r="P271" s="30">
        <f t="shared" si="106"/>
        <v>4.5870000000000015</v>
      </c>
      <c r="Q271" s="30">
        <f>SUM(Q272:Q300)</f>
        <v>29</v>
      </c>
      <c r="R271" s="30">
        <f>SUM(R272:R300)</f>
        <v>575</v>
      </c>
      <c r="S271" s="30">
        <f>SUM(S272:S297)</f>
        <v>21</v>
      </c>
      <c r="T271" s="44">
        <f>SUM(T272:T298)</f>
        <v>334.00700000000006</v>
      </c>
      <c r="U271" s="30"/>
      <c r="V271" s="30"/>
      <c r="W271" s="30">
        <f>SUM(W272:W300)</f>
        <v>5</v>
      </c>
      <c r="X271" s="44">
        <f>SUM(X272:X298)</f>
        <v>0.15000000000000002</v>
      </c>
      <c r="Y271" s="30">
        <f>SUM(Y272:Y300)</f>
        <v>0</v>
      </c>
      <c r="Z271" s="44">
        <f>SUM(Z272:Z298)</f>
        <v>0</v>
      </c>
      <c r="AA271" s="30">
        <f>SUM(AA272:AA300)</f>
        <v>0</v>
      </c>
      <c r="AB271" s="44">
        <f>SUM(AB272:AB298)</f>
        <v>0</v>
      </c>
      <c r="AC271" s="30">
        <f>SUM(AC272:AC297)</f>
        <v>0</v>
      </c>
      <c r="AD271" s="44">
        <f>SUM(AD272:AD298)</f>
        <v>0</v>
      </c>
      <c r="AE271" s="30"/>
      <c r="AF271" s="30">
        <f>SUM(AF272:AF300)</f>
        <v>3</v>
      </c>
      <c r="AG271" s="30">
        <f t="shared" ref="AG271:AL271" si="107">SUM(AG272:AG297)</f>
        <v>0</v>
      </c>
      <c r="AH271" s="30">
        <f t="shared" si="107"/>
        <v>0</v>
      </c>
      <c r="AI271" s="30">
        <f t="shared" si="107"/>
        <v>0</v>
      </c>
      <c r="AJ271" s="30">
        <f t="shared" si="107"/>
        <v>0</v>
      </c>
      <c r="AK271" s="30">
        <f t="shared" si="107"/>
        <v>0</v>
      </c>
      <c r="AL271" s="30">
        <f t="shared" si="107"/>
        <v>0</v>
      </c>
      <c r="AM271" s="30"/>
      <c r="AN271" s="30">
        <f>SUM(AN272:AN300)</f>
        <v>29</v>
      </c>
      <c r="AO271" s="30">
        <f>SUM(AO272:AO300)</f>
        <v>575</v>
      </c>
      <c r="AP271" s="30">
        <f>SUM(AP272:AP300)</f>
        <v>26</v>
      </c>
      <c r="AQ271" s="44">
        <f>SUM(AQ272:AQ300)</f>
        <v>450.17039999999986</v>
      </c>
    </row>
    <row r="272" spans="1:43">
      <c r="A272" s="37" t="s">
        <v>21</v>
      </c>
      <c r="B272" s="14"/>
      <c r="C272" s="6"/>
      <c r="D272" s="6"/>
      <c r="E272" s="6"/>
      <c r="F272" s="6"/>
      <c r="G272" s="6"/>
      <c r="H272" s="6"/>
      <c r="I272" s="10">
        <f t="shared" ref="I272:I297" si="108">J272/5*2</f>
        <v>2.0916000000000001</v>
      </c>
      <c r="J272" s="6">
        <v>5.2290000000000001</v>
      </c>
      <c r="K272" s="6"/>
      <c r="L272" s="6"/>
      <c r="M272" s="4">
        <f t="shared" ref="M272:M300" si="109">ROUND((L272)*0.202,3)</f>
        <v>0</v>
      </c>
      <c r="N272" s="21">
        <f t="shared" ref="N272:N300" si="110">ROUND((L272)*1.0457,3)</f>
        <v>0</v>
      </c>
      <c r="O272" s="6"/>
      <c r="P272" s="10">
        <f t="shared" ref="P272:P300" si="111">SUM(K272:O272)</f>
        <v>0</v>
      </c>
      <c r="Q272" s="6">
        <v>1</v>
      </c>
      <c r="R272" s="6">
        <v>8.6999999999999993</v>
      </c>
      <c r="S272" s="6">
        <v>1</v>
      </c>
      <c r="T272" s="10">
        <f>P272+J272+I272</f>
        <v>7.3206000000000007</v>
      </c>
      <c r="U272" s="6">
        <f>R272</f>
        <v>8.6999999999999993</v>
      </c>
      <c r="V272" s="6"/>
      <c r="W272" s="6"/>
      <c r="X272" s="10"/>
      <c r="Y272" s="6"/>
      <c r="Z272" s="10"/>
      <c r="AA272" s="6"/>
      <c r="AB272" s="10"/>
      <c r="AC272" s="6"/>
      <c r="AD272" s="10"/>
      <c r="AE272" s="6"/>
      <c r="AF272" s="6"/>
      <c r="AG272" s="6"/>
      <c r="AH272" s="6"/>
      <c r="AI272" s="4">
        <f t="shared" ref="AI272:AI300" si="112">ROUND((AH272)*0.202,3)</f>
        <v>0</v>
      </c>
      <c r="AJ272" s="21">
        <f t="shared" ref="AJ272:AJ299" si="113">ROUND((AH272)*0.8138,3)</f>
        <v>0</v>
      </c>
      <c r="AK272" s="6"/>
      <c r="AL272" s="10">
        <f t="shared" ref="AL272:AL300" si="114">SUM(AG272:AK272)</f>
        <v>0</v>
      </c>
      <c r="AM272" s="10"/>
      <c r="AN272" s="6">
        <v>1</v>
      </c>
      <c r="AO272" s="6">
        <v>8.6999999999999993</v>
      </c>
      <c r="AP272" s="6">
        <v>1</v>
      </c>
      <c r="AQ272" s="10">
        <f>T272</f>
        <v>7.3206000000000007</v>
      </c>
    </row>
    <row r="273" spans="1:43">
      <c r="A273" s="37" t="s">
        <v>43</v>
      </c>
      <c r="B273" s="14"/>
      <c r="C273" s="6"/>
      <c r="D273" s="6"/>
      <c r="E273" s="6">
        <v>1</v>
      </c>
      <c r="F273" s="6">
        <v>0.14299999999999999</v>
      </c>
      <c r="G273" s="6"/>
      <c r="H273" s="6"/>
      <c r="I273" s="10">
        <f t="shared" si="108"/>
        <v>6.9719999999999995</v>
      </c>
      <c r="J273" s="6">
        <v>17.43</v>
      </c>
      <c r="K273" s="6">
        <v>6.0999999999999999E-2</v>
      </c>
      <c r="L273" s="6">
        <v>0.04</v>
      </c>
      <c r="M273" s="4">
        <f t="shared" si="109"/>
        <v>8.0000000000000002E-3</v>
      </c>
      <c r="N273" s="21">
        <f t="shared" si="110"/>
        <v>4.2000000000000003E-2</v>
      </c>
      <c r="O273" s="6">
        <v>2E-3</v>
      </c>
      <c r="P273" s="10">
        <f t="shared" si="111"/>
        <v>0.15300000000000002</v>
      </c>
      <c r="Q273" s="6">
        <v>1</v>
      </c>
      <c r="R273" s="6">
        <v>8.84</v>
      </c>
      <c r="S273" s="6">
        <v>1</v>
      </c>
      <c r="T273" s="10">
        <f>P273+J273+I273</f>
        <v>24.555</v>
      </c>
      <c r="U273" s="6">
        <f>R273</f>
        <v>8.84</v>
      </c>
      <c r="V273" s="6"/>
      <c r="W273" s="6"/>
      <c r="X273" s="10"/>
      <c r="Y273" s="6"/>
      <c r="Z273" s="10"/>
      <c r="AA273" s="6"/>
      <c r="AB273" s="10"/>
      <c r="AC273" s="6"/>
      <c r="AD273" s="10"/>
      <c r="AE273" s="6"/>
      <c r="AF273" s="6"/>
      <c r="AG273" s="6"/>
      <c r="AH273" s="6"/>
      <c r="AI273" s="4">
        <f t="shared" si="112"/>
        <v>0</v>
      </c>
      <c r="AJ273" s="21">
        <f t="shared" si="113"/>
        <v>0</v>
      </c>
      <c r="AK273" s="6"/>
      <c r="AL273" s="10">
        <f t="shared" si="114"/>
        <v>0</v>
      </c>
      <c r="AM273" s="10"/>
      <c r="AN273" s="6">
        <v>1</v>
      </c>
      <c r="AO273" s="6">
        <v>8.84</v>
      </c>
      <c r="AP273" s="6">
        <v>1</v>
      </c>
      <c r="AQ273" s="10">
        <f>T273</f>
        <v>24.555</v>
      </c>
    </row>
    <row r="274" spans="1:43">
      <c r="A274" s="37" t="s">
        <v>22</v>
      </c>
      <c r="B274" s="14"/>
      <c r="C274" s="6"/>
      <c r="D274" s="6"/>
      <c r="E274" s="6"/>
      <c r="F274" s="6"/>
      <c r="G274" s="6"/>
      <c r="H274" s="6"/>
      <c r="I274" s="10">
        <f t="shared" si="108"/>
        <v>3.4859999999999998</v>
      </c>
      <c r="J274" s="6">
        <v>8.7149999999999999</v>
      </c>
      <c r="K274" s="6"/>
      <c r="L274" s="6"/>
      <c r="M274" s="4">
        <f t="shared" si="109"/>
        <v>0</v>
      </c>
      <c r="N274" s="21">
        <f t="shared" si="110"/>
        <v>0</v>
      </c>
      <c r="O274" s="6"/>
      <c r="P274" s="10">
        <f t="shared" si="111"/>
        <v>0</v>
      </c>
      <c r="Q274" s="6">
        <v>1</v>
      </c>
      <c r="R274" s="6">
        <v>12.87</v>
      </c>
      <c r="S274" s="6">
        <v>1</v>
      </c>
      <c r="T274" s="10">
        <f>P274+J274+I274</f>
        <v>12.201000000000001</v>
      </c>
      <c r="U274" s="6">
        <f>R274</f>
        <v>12.87</v>
      </c>
      <c r="V274" s="6"/>
      <c r="W274" s="6"/>
      <c r="X274" s="10"/>
      <c r="Y274" s="6"/>
      <c r="Z274" s="10"/>
      <c r="AA274" s="6"/>
      <c r="AB274" s="10"/>
      <c r="AC274" s="6"/>
      <c r="AD274" s="10"/>
      <c r="AE274" s="6"/>
      <c r="AF274" s="6"/>
      <c r="AG274" s="6"/>
      <c r="AH274" s="6"/>
      <c r="AI274" s="4">
        <f t="shared" si="112"/>
        <v>0</v>
      </c>
      <c r="AJ274" s="21">
        <f t="shared" si="113"/>
        <v>0</v>
      </c>
      <c r="AK274" s="6"/>
      <c r="AL274" s="10">
        <f t="shared" si="114"/>
        <v>0</v>
      </c>
      <c r="AM274" s="10"/>
      <c r="AN274" s="6">
        <v>1</v>
      </c>
      <c r="AO274" s="6">
        <v>12.87</v>
      </c>
      <c r="AP274" s="6">
        <v>1</v>
      </c>
      <c r="AQ274" s="10">
        <f t="shared" ref="AQ274:AQ297" si="115">T274</f>
        <v>12.201000000000001</v>
      </c>
    </row>
    <row r="275" spans="1:43">
      <c r="A275" s="37" t="s">
        <v>44</v>
      </c>
      <c r="B275" s="14"/>
      <c r="C275" s="6"/>
      <c r="D275" s="6"/>
      <c r="E275" s="6">
        <v>1</v>
      </c>
      <c r="F275" s="6">
        <v>0.50800000000000001</v>
      </c>
      <c r="G275" s="6"/>
      <c r="H275" s="6"/>
      <c r="I275" s="10">
        <f t="shared" si="108"/>
        <v>6.9719999999999995</v>
      </c>
      <c r="J275" s="6">
        <v>17.43</v>
      </c>
      <c r="K275" s="6">
        <v>0.217</v>
      </c>
      <c r="L275" s="6">
        <v>0.14099999999999999</v>
      </c>
      <c r="M275" s="4">
        <f t="shared" si="109"/>
        <v>2.8000000000000001E-2</v>
      </c>
      <c r="N275" s="21">
        <f t="shared" si="110"/>
        <v>0.14699999999999999</v>
      </c>
      <c r="O275" s="6">
        <v>6.0000000000000001E-3</v>
      </c>
      <c r="P275" s="10">
        <f t="shared" si="111"/>
        <v>0.53900000000000003</v>
      </c>
      <c r="Q275" s="6">
        <v>1</v>
      </c>
      <c r="R275" s="6">
        <v>25.76</v>
      </c>
      <c r="S275" s="6">
        <v>1</v>
      </c>
      <c r="T275" s="10">
        <f>P275+J275+I275</f>
        <v>24.941000000000003</v>
      </c>
      <c r="U275" s="6">
        <f>R275</f>
        <v>25.76</v>
      </c>
      <c r="V275" s="6"/>
      <c r="W275" s="6"/>
      <c r="X275" s="10"/>
      <c r="Y275" s="6"/>
      <c r="Z275" s="10"/>
      <c r="AA275" s="6"/>
      <c r="AB275" s="10"/>
      <c r="AC275" s="6"/>
      <c r="AD275" s="10"/>
      <c r="AE275" s="6"/>
      <c r="AF275" s="6"/>
      <c r="AG275" s="6"/>
      <c r="AH275" s="6"/>
      <c r="AI275" s="4">
        <f t="shared" si="112"/>
        <v>0</v>
      </c>
      <c r="AJ275" s="21">
        <f t="shared" si="113"/>
        <v>0</v>
      </c>
      <c r="AK275" s="6"/>
      <c r="AL275" s="10">
        <f t="shared" si="114"/>
        <v>0</v>
      </c>
      <c r="AM275" s="10"/>
      <c r="AN275" s="6">
        <v>1</v>
      </c>
      <c r="AO275" s="6">
        <v>25.76</v>
      </c>
      <c r="AP275" s="6">
        <v>1</v>
      </c>
      <c r="AQ275" s="10">
        <f t="shared" si="115"/>
        <v>24.941000000000003</v>
      </c>
    </row>
    <row r="276" spans="1:43">
      <c r="A276" s="37" t="s">
        <v>36</v>
      </c>
      <c r="B276" s="14"/>
      <c r="C276" s="6"/>
      <c r="D276" s="6"/>
      <c r="E276" s="6"/>
      <c r="F276" s="6"/>
      <c r="G276" s="6"/>
      <c r="H276" s="6"/>
      <c r="I276" s="10">
        <f t="shared" si="108"/>
        <v>0</v>
      </c>
      <c r="J276" s="6"/>
      <c r="K276" s="6"/>
      <c r="L276" s="6"/>
      <c r="M276" s="4">
        <f t="shared" si="109"/>
        <v>0</v>
      </c>
      <c r="N276" s="21">
        <f t="shared" si="110"/>
        <v>0</v>
      </c>
      <c r="O276" s="6"/>
      <c r="P276" s="10">
        <f t="shared" si="111"/>
        <v>0</v>
      </c>
      <c r="Q276" s="6">
        <v>1</v>
      </c>
      <c r="R276" s="6">
        <v>163.05000000000001</v>
      </c>
      <c r="S276" s="6"/>
      <c r="T276" s="10"/>
      <c r="U276" s="6"/>
      <c r="V276" s="6"/>
      <c r="W276" s="6"/>
      <c r="X276" s="10"/>
      <c r="Y276" s="6"/>
      <c r="Z276" s="10"/>
      <c r="AA276" s="6"/>
      <c r="AB276" s="10"/>
      <c r="AC276" s="6"/>
      <c r="AD276" s="10"/>
      <c r="AE276" s="6"/>
      <c r="AF276" s="6"/>
      <c r="AG276" s="6"/>
      <c r="AH276" s="6"/>
      <c r="AI276" s="4">
        <f t="shared" si="112"/>
        <v>0</v>
      </c>
      <c r="AJ276" s="21">
        <f t="shared" si="113"/>
        <v>0</v>
      </c>
      <c r="AK276" s="6"/>
      <c r="AL276" s="10">
        <f t="shared" si="114"/>
        <v>0</v>
      </c>
      <c r="AM276" s="10"/>
      <c r="AN276" s="6">
        <v>1</v>
      </c>
      <c r="AO276" s="6">
        <v>163.05000000000001</v>
      </c>
      <c r="AP276" s="6">
        <v>1</v>
      </c>
      <c r="AQ276" s="10">
        <v>123.58</v>
      </c>
    </row>
    <row r="277" spans="1:43">
      <c r="A277" s="37" t="s">
        <v>37</v>
      </c>
      <c r="B277" s="14"/>
      <c r="C277" s="6"/>
      <c r="D277" s="6"/>
      <c r="E277" s="6">
        <v>1</v>
      </c>
      <c r="F277" s="6">
        <v>0.28699999999999998</v>
      </c>
      <c r="G277" s="6"/>
      <c r="H277" s="6"/>
      <c r="I277" s="10">
        <f t="shared" si="108"/>
        <v>3.4859999999999998</v>
      </c>
      <c r="J277" s="6">
        <v>8.7149999999999999</v>
      </c>
      <c r="K277" s="6">
        <v>0.122</v>
      </c>
      <c r="L277" s="6">
        <v>0.08</v>
      </c>
      <c r="M277" s="4">
        <f t="shared" si="109"/>
        <v>1.6E-2</v>
      </c>
      <c r="N277" s="21">
        <f t="shared" si="110"/>
        <v>8.4000000000000005E-2</v>
      </c>
      <c r="O277" s="6">
        <v>4.0000000000000001E-3</v>
      </c>
      <c r="P277" s="10">
        <f t="shared" si="111"/>
        <v>0.30600000000000005</v>
      </c>
      <c r="Q277" s="6">
        <v>1</v>
      </c>
      <c r="R277" s="6">
        <v>12.78</v>
      </c>
      <c r="S277" s="6">
        <v>1</v>
      </c>
      <c r="T277" s="10">
        <f>P277+J277+I277</f>
        <v>12.507000000000001</v>
      </c>
      <c r="U277" s="6">
        <f t="shared" ref="U277:U287" si="116">R277</f>
        <v>12.78</v>
      </c>
      <c r="V277" s="6"/>
      <c r="W277" s="6"/>
      <c r="X277" s="10"/>
      <c r="Y277" s="6"/>
      <c r="Z277" s="10"/>
      <c r="AA277" s="6"/>
      <c r="AB277" s="10"/>
      <c r="AC277" s="6"/>
      <c r="AD277" s="10"/>
      <c r="AE277" s="6"/>
      <c r="AF277" s="6"/>
      <c r="AG277" s="6"/>
      <c r="AH277" s="6"/>
      <c r="AI277" s="4">
        <f t="shared" si="112"/>
        <v>0</v>
      </c>
      <c r="AJ277" s="21">
        <f t="shared" si="113"/>
        <v>0</v>
      </c>
      <c r="AK277" s="6"/>
      <c r="AL277" s="10">
        <f t="shared" si="114"/>
        <v>0</v>
      </c>
      <c r="AM277" s="10"/>
      <c r="AN277" s="6">
        <v>1</v>
      </c>
      <c r="AO277" s="6">
        <v>12.78</v>
      </c>
      <c r="AP277" s="6">
        <v>1</v>
      </c>
      <c r="AQ277" s="10">
        <f t="shared" si="115"/>
        <v>12.507000000000001</v>
      </c>
    </row>
    <row r="278" spans="1:43">
      <c r="A278" s="37" t="s">
        <v>23</v>
      </c>
      <c r="B278" s="14"/>
      <c r="C278" s="6"/>
      <c r="D278" s="6"/>
      <c r="E278" s="6">
        <v>1</v>
      </c>
      <c r="F278" s="6">
        <v>0.14299999999999999</v>
      </c>
      <c r="G278" s="6"/>
      <c r="H278" s="6"/>
      <c r="I278" s="10">
        <f t="shared" si="108"/>
        <v>3.4859999999999998</v>
      </c>
      <c r="J278" s="6">
        <v>8.7149999999999999</v>
      </c>
      <c r="K278" s="6">
        <v>6.0999999999999999E-2</v>
      </c>
      <c r="L278" s="6">
        <v>0.04</v>
      </c>
      <c r="M278" s="4">
        <f t="shared" si="109"/>
        <v>8.0000000000000002E-3</v>
      </c>
      <c r="N278" s="21">
        <f t="shared" si="110"/>
        <v>4.2000000000000003E-2</v>
      </c>
      <c r="O278" s="6">
        <v>2E-3</v>
      </c>
      <c r="P278" s="10">
        <f t="shared" si="111"/>
        <v>0.15300000000000002</v>
      </c>
      <c r="Q278" s="6">
        <v>1</v>
      </c>
      <c r="R278" s="6">
        <v>12.87</v>
      </c>
      <c r="S278" s="6">
        <v>1</v>
      </c>
      <c r="T278" s="10">
        <f>P278+J278+I278</f>
        <v>12.353999999999999</v>
      </c>
      <c r="U278" s="6">
        <f t="shared" si="116"/>
        <v>12.87</v>
      </c>
      <c r="V278" s="6"/>
      <c r="W278" s="6"/>
      <c r="X278" s="10"/>
      <c r="Y278" s="6"/>
      <c r="Z278" s="10"/>
      <c r="AA278" s="6"/>
      <c r="AB278" s="10"/>
      <c r="AC278" s="6"/>
      <c r="AD278" s="10"/>
      <c r="AE278" s="6"/>
      <c r="AF278" s="6"/>
      <c r="AG278" s="6"/>
      <c r="AH278" s="6"/>
      <c r="AI278" s="4">
        <f t="shared" si="112"/>
        <v>0</v>
      </c>
      <c r="AJ278" s="21">
        <f t="shared" si="113"/>
        <v>0</v>
      </c>
      <c r="AK278" s="6"/>
      <c r="AL278" s="10">
        <f t="shared" si="114"/>
        <v>0</v>
      </c>
      <c r="AM278" s="10"/>
      <c r="AN278" s="6">
        <v>1</v>
      </c>
      <c r="AO278" s="6">
        <v>12.87</v>
      </c>
      <c r="AP278" s="6">
        <v>1</v>
      </c>
      <c r="AQ278" s="10">
        <f t="shared" si="115"/>
        <v>12.353999999999999</v>
      </c>
    </row>
    <row r="279" spans="1:43">
      <c r="A279" s="37" t="s">
        <v>38</v>
      </c>
      <c r="B279" s="14"/>
      <c r="C279" s="6"/>
      <c r="D279" s="6"/>
      <c r="E279" s="6"/>
      <c r="F279" s="6"/>
      <c r="G279" s="6"/>
      <c r="H279" s="6"/>
      <c r="I279" s="10">
        <f t="shared" si="108"/>
        <v>0</v>
      </c>
      <c r="J279" s="6"/>
      <c r="K279" s="6"/>
      <c r="L279" s="6"/>
      <c r="M279" s="4">
        <f t="shared" si="109"/>
        <v>0</v>
      </c>
      <c r="N279" s="21">
        <f t="shared" si="110"/>
        <v>0</v>
      </c>
      <c r="O279" s="6"/>
      <c r="P279" s="10">
        <f t="shared" si="111"/>
        <v>0</v>
      </c>
      <c r="Q279" s="6">
        <v>1</v>
      </c>
      <c r="R279" s="6">
        <v>25.75</v>
      </c>
      <c r="S279" s="6"/>
      <c r="T279" s="10"/>
      <c r="U279" s="6">
        <f t="shared" si="116"/>
        <v>25.75</v>
      </c>
      <c r="V279" s="6"/>
      <c r="W279" s="6"/>
      <c r="X279" s="10"/>
      <c r="Y279" s="6"/>
      <c r="Z279" s="10"/>
      <c r="AA279" s="6"/>
      <c r="AB279" s="10"/>
      <c r="AC279" s="6"/>
      <c r="AD279" s="10"/>
      <c r="AE279" s="6"/>
      <c r="AF279" s="6"/>
      <c r="AG279" s="6"/>
      <c r="AH279" s="6"/>
      <c r="AI279" s="4">
        <f t="shared" si="112"/>
        <v>0</v>
      </c>
      <c r="AJ279" s="21">
        <f t="shared" si="113"/>
        <v>0</v>
      </c>
      <c r="AK279" s="6"/>
      <c r="AL279" s="10">
        <f t="shared" si="114"/>
        <v>0</v>
      </c>
      <c r="AM279" s="10"/>
      <c r="AN279" s="6">
        <v>1</v>
      </c>
      <c r="AO279" s="6">
        <v>25.75</v>
      </c>
      <c r="AP279" s="6">
        <v>0</v>
      </c>
      <c r="AQ279" s="26">
        <f t="shared" si="115"/>
        <v>0</v>
      </c>
    </row>
    <row r="280" spans="1:43">
      <c r="A280" s="37" t="s">
        <v>45</v>
      </c>
      <c r="B280" s="14"/>
      <c r="C280" s="6"/>
      <c r="D280" s="6"/>
      <c r="E280" s="6">
        <v>1</v>
      </c>
      <c r="F280" s="6">
        <v>0.28699999999999998</v>
      </c>
      <c r="G280" s="6"/>
      <c r="H280" s="6"/>
      <c r="I280" s="10">
        <f t="shared" si="108"/>
        <v>3.4859999999999998</v>
      </c>
      <c r="J280" s="6">
        <v>8.7149999999999999</v>
      </c>
      <c r="K280" s="6">
        <v>0.122</v>
      </c>
      <c r="L280" s="6">
        <v>0.08</v>
      </c>
      <c r="M280" s="4">
        <f t="shared" si="109"/>
        <v>1.6E-2</v>
      </c>
      <c r="N280" s="21">
        <f t="shared" si="110"/>
        <v>8.4000000000000005E-2</v>
      </c>
      <c r="O280" s="6">
        <v>4.0000000000000001E-3</v>
      </c>
      <c r="P280" s="10">
        <f t="shared" si="111"/>
        <v>0.30600000000000005</v>
      </c>
      <c r="Q280" s="6">
        <v>1</v>
      </c>
      <c r="R280" s="6">
        <v>8.68</v>
      </c>
      <c r="S280" s="6">
        <v>1</v>
      </c>
      <c r="T280" s="10">
        <f t="shared" ref="T280:T287" si="117">P280+J280+I280</f>
        <v>12.507000000000001</v>
      </c>
      <c r="U280" s="6">
        <f t="shared" si="116"/>
        <v>8.68</v>
      </c>
      <c r="V280" s="6"/>
      <c r="W280" s="6"/>
      <c r="X280" s="10"/>
      <c r="Y280" s="6"/>
      <c r="Z280" s="10"/>
      <c r="AA280" s="6"/>
      <c r="AB280" s="10"/>
      <c r="AC280" s="6"/>
      <c r="AD280" s="10"/>
      <c r="AE280" s="6"/>
      <c r="AF280" s="6"/>
      <c r="AG280" s="6"/>
      <c r="AH280" s="6"/>
      <c r="AI280" s="4">
        <f t="shared" si="112"/>
        <v>0</v>
      </c>
      <c r="AJ280" s="21">
        <f t="shared" si="113"/>
        <v>0</v>
      </c>
      <c r="AK280" s="6"/>
      <c r="AL280" s="10">
        <f t="shared" si="114"/>
        <v>0</v>
      </c>
      <c r="AM280" s="10"/>
      <c r="AN280" s="6">
        <v>1</v>
      </c>
      <c r="AO280" s="6">
        <v>8.68</v>
      </c>
      <c r="AP280" s="6">
        <v>1</v>
      </c>
      <c r="AQ280" s="10">
        <f t="shared" si="115"/>
        <v>12.507000000000001</v>
      </c>
    </row>
    <row r="281" spans="1:43">
      <c r="A281" s="37" t="s">
        <v>46</v>
      </c>
      <c r="B281" s="14"/>
      <c r="C281" s="6"/>
      <c r="D281" s="6"/>
      <c r="E281" s="6">
        <v>1</v>
      </c>
      <c r="F281" s="6">
        <v>0.43</v>
      </c>
      <c r="G281" s="6"/>
      <c r="H281" s="6"/>
      <c r="I281" s="10">
        <f t="shared" si="108"/>
        <v>4.88</v>
      </c>
      <c r="J281" s="6">
        <v>12.2</v>
      </c>
      <c r="K281" s="6">
        <v>0.184</v>
      </c>
      <c r="L281" s="6">
        <v>0.12</v>
      </c>
      <c r="M281" s="4">
        <f t="shared" si="109"/>
        <v>2.4E-2</v>
      </c>
      <c r="N281" s="21">
        <f t="shared" si="110"/>
        <v>0.125</v>
      </c>
      <c r="O281" s="6">
        <v>5.0000000000000001E-3</v>
      </c>
      <c r="P281" s="10">
        <f t="shared" si="111"/>
        <v>0.45800000000000002</v>
      </c>
      <c r="Q281" s="6">
        <v>1</v>
      </c>
      <c r="R281" s="6">
        <v>17.16</v>
      </c>
      <c r="S281" s="6">
        <v>1</v>
      </c>
      <c r="T281" s="10">
        <f t="shared" si="117"/>
        <v>17.538</v>
      </c>
      <c r="U281" s="6">
        <f t="shared" si="116"/>
        <v>17.16</v>
      </c>
      <c r="V281" s="6"/>
      <c r="W281" s="6"/>
      <c r="X281" s="10"/>
      <c r="Y281" s="6"/>
      <c r="Z281" s="10"/>
      <c r="AA281" s="6"/>
      <c r="AB281" s="10"/>
      <c r="AC281" s="6"/>
      <c r="AD281" s="10"/>
      <c r="AE281" s="6"/>
      <c r="AF281" s="6"/>
      <c r="AG281" s="6"/>
      <c r="AH281" s="6"/>
      <c r="AI281" s="4">
        <f t="shared" si="112"/>
        <v>0</v>
      </c>
      <c r="AJ281" s="21">
        <f t="shared" si="113"/>
        <v>0</v>
      </c>
      <c r="AK281" s="6"/>
      <c r="AL281" s="10">
        <f t="shared" si="114"/>
        <v>0</v>
      </c>
      <c r="AM281" s="10"/>
      <c r="AN281" s="6">
        <v>1</v>
      </c>
      <c r="AO281" s="6">
        <v>17.16</v>
      </c>
      <c r="AP281" s="6">
        <v>1</v>
      </c>
      <c r="AQ281" s="10">
        <f t="shared" si="115"/>
        <v>17.538</v>
      </c>
    </row>
    <row r="282" spans="1:43">
      <c r="A282" s="37" t="s">
        <v>24</v>
      </c>
      <c r="B282" s="14"/>
      <c r="C282" s="6"/>
      <c r="D282" s="6"/>
      <c r="E282" s="6">
        <v>1</v>
      </c>
      <c r="F282" s="6">
        <v>0.43</v>
      </c>
      <c r="G282" s="6"/>
      <c r="H282" s="6"/>
      <c r="I282" s="10">
        <f t="shared" si="108"/>
        <v>2.0916000000000001</v>
      </c>
      <c r="J282" s="6">
        <v>5.2290000000000001</v>
      </c>
      <c r="K282" s="6">
        <v>0.184</v>
      </c>
      <c r="L282" s="6">
        <v>0.12</v>
      </c>
      <c r="M282" s="4">
        <f t="shared" si="109"/>
        <v>2.4E-2</v>
      </c>
      <c r="N282" s="21">
        <f t="shared" si="110"/>
        <v>0.125</v>
      </c>
      <c r="O282" s="6">
        <v>5.0000000000000001E-3</v>
      </c>
      <c r="P282" s="10">
        <f t="shared" si="111"/>
        <v>0.45800000000000002</v>
      </c>
      <c r="Q282" s="6">
        <v>1</v>
      </c>
      <c r="R282" s="6">
        <v>8.57</v>
      </c>
      <c r="S282" s="6">
        <v>1</v>
      </c>
      <c r="T282" s="10">
        <f t="shared" si="117"/>
        <v>7.7786000000000008</v>
      </c>
      <c r="U282" s="6">
        <f t="shared" si="116"/>
        <v>8.57</v>
      </c>
      <c r="V282" s="6"/>
      <c r="W282" s="6"/>
      <c r="X282" s="10"/>
      <c r="Y282" s="6"/>
      <c r="Z282" s="10"/>
      <c r="AA282" s="6"/>
      <c r="AB282" s="10"/>
      <c r="AC282" s="6"/>
      <c r="AD282" s="10"/>
      <c r="AE282" s="6"/>
      <c r="AF282" s="6"/>
      <c r="AG282" s="6"/>
      <c r="AH282" s="6"/>
      <c r="AI282" s="4">
        <f t="shared" si="112"/>
        <v>0</v>
      </c>
      <c r="AJ282" s="21">
        <f t="shared" si="113"/>
        <v>0</v>
      </c>
      <c r="AK282" s="6"/>
      <c r="AL282" s="10">
        <f t="shared" si="114"/>
        <v>0</v>
      </c>
      <c r="AM282" s="10"/>
      <c r="AN282" s="6">
        <v>1</v>
      </c>
      <c r="AO282" s="6">
        <v>8.57</v>
      </c>
      <c r="AP282" s="6">
        <v>1</v>
      </c>
      <c r="AQ282" s="10">
        <f t="shared" si="115"/>
        <v>7.7786000000000008</v>
      </c>
    </row>
    <row r="283" spans="1:43">
      <c r="A283" s="37" t="s">
        <v>47</v>
      </c>
      <c r="B283" s="14"/>
      <c r="C283" s="6"/>
      <c r="D283" s="6"/>
      <c r="E283" s="6">
        <v>1</v>
      </c>
      <c r="F283" s="6">
        <v>0.28699999999999998</v>
      </c>
      <c r="G283" s="6"/>
      <c r="H283" s="6"/>
      <c r="I283" s="10">
        <f t="shared" si="108"/>
        <v>3.4859999999999998</v>
      </c>
      <c r="J283" s="6">
        <v>8.7149999999999999</v>
      </c>
      <c r="K283" s="6">
        <v>0.122</v>
      </c>
      <c r="L283" s="6">
        <v>0.08</v>
      </c>
      <c r="M283" s="4">
        <f t="shared" si="109"/>
        <v>1.6E-2</v>
      </c>
      <c r="N283" s="21">
        <f t="shared" si="110"/>
        <v>8.4000000000000005E-2</v>
      </c>
      <c r="O283" s="6">
        <v>4.0000000000000001E-3</v>
      </c>
      <c r="P283" s="10">
        <f t="shared" si="111"/>
        <v>0.30600000000000005</v>
      </c>
      <c r="Q283" s="6">
        <v>1</v>
      </c>
      <c r="R283" s="6">
        <v>8.5399999999999991</v>
      </c>
      <c r="S283" s="6">
        <v>1</v>
      </c>
      <c r="T283" s="10">
        <f t="shared" si="117"/>
        <v>12.507000000000001</v>
      </c>
      <c r="U283" s="6">
        <f t="shared" si="116"/>
        <v>8.5399999999999991</v>
      </c>
      <c r="V283" s="6"/>
      <c r="W283" s="6"/>
      <c r="X283" s="10"/>
      <c r="Y283" s="6"/>
      <c r="Z283" s="10"/>
      <c r="AA283" s="6"/>
      <c r="AB283" s="10"/>
      <c r="AC283" s="6"/>
      <c r="AD283" s="10"/>
      <c r="AE283" s="6"/>
      <c r="AF283" s="6"/>
      <c r="AG283" s="6"/>
      <c r="AH283" s="6"/>
      <c r="AI283" s="4">
        <f t="shared" si="112"/>
        <v>0</v>
      </c>
      <c r="AJ283" s="21">
        <f t="shared" si="113"/>
        <v>0</v>
      </c>
      <c r="AK283" s="6"/>
      <c r="AL283" s="10">
        <f t="shared" si="114"/>
        <v>0</v>
      </c>
      <c r="AM283" s="10"/>
      <c r="AN283" s="6">
        <v>1</v>
      </c>
      <c r="AO283" s="6">
        <v>8.5399999999999991</v>
      </c>
      <c r="AP283" s="6">
        <v>1</v>
      </c>
      <c r="AQ283" s="10">
        <f t="shared" si="115"/>
        <v>12.507000000000001</v>
      </c>
    </row>
    <row r="284" spans="1:43">
      <c r="A284" s="37" t="s">
        <v>40</v>
      </c>
      <c r="B284" s="14"/>
      <c r="C284" s="6"/>
      <c r="D284" s="6"/>
      <c r="E284" s="6">
        <v>1</v>
      </c>
      <c r="F284" s="6">
        <v>0.14299999999999999</v>
      </c>
      <c r="G284" s="6"/>
      <c r="H284" s="6"/>
      <c r="I284" s="10">
        <f t="shared" si="108"/>
        <v>3.4859999999999998</v>
      </c>
      <c r="J284" s="6">
        <v>8.7149999999999999</v>
      </c>
      <c r="K284" s="6">
        <v>6.0999999999999999E-2</v>
      </c>
      <c r="L284" s="6">
        <v>0.04</v>
      </c>
      <c r="M284" s="4">
        <f t="shared" si="109"/>
        <v>8.0000000000000002E-3</v>
      </c>
      <c r="N284" s="21">
        <f t="shared" si="110"/>
        <v>4.2000000000000003E-2</v>
      </c>
      <c r="O284" s="6">
        <v>2E-3</v>
      </c>
      <c r="P284" s="10">
        <f t="shared" si="111"/>
        <v>0.15300000000000002</v>
      </c>
      <c r="Q284" s="6">
        <v>1</v>
      </c>
      <c r="R284" s="6">
        <v>8.58</v>
      </c>
      <c r="S284" s="6">
        <v>1</v>
      </c>
      <c r="T284" s="10">
        <f t="shared" si="117"/>
        <v>12.353999999999999</v>
      </c>
      <c r="U284" s="6">
        <f t="shared" si="116"/>
        <v>8.58</v>
      </c>
      <c r="V284" s="6"/>
      <c r="W284" s="6"/>
      <c r="X284" s="10"/>
      <c r="Y284" s="6"/>
      <c r="Z284" s="10"/>
      <c r="AA284" s="6"/>
      <c r="AB284" s="10"/>
      <c r="AC284" s="6"/>
      <c r="AD284" s="10"/>
      <c r="AE284" s="6"/>
      <c r="AF284" s="6">
        <v>1</v>
      </c>
      <c r="AG284" s="6"/>
      <c r="AH284" s="6"/>
      <c r="AI284" s="4">
        <f t="shared" si="112"/>
        <v>0</v>
      </c>
      <c r="AJ284" s="21">
        <f t="shared" si="113"/>
        <v>0</v>
      </c>
      <c r="AK284" s="6"/>
      <c r="AL284" s="10">
        <f t="shared" si="114"/>
        <v>0</v>
      </c>
      <c r="AM284" s="10"/>
      <c r="AN284" s="6">
        <v>1</v>
      </c>
      <c r="AO284" s="6">
        <v>8.58</v>
      </c>
      <c r="AP284" s="6">
        <v>1</v>
      </c>
      <c r="AQ284" s="10">
        <f t="shared" si="115"/>
        <v>12.353999999999999</v>
      </c>
    </row>
    <row r="285" spans="1:43">
      <c r="A285" s="37" t="s">
        <v>48</v>
      </c>
      <c r="B285" s="14"/>
      <c r="C285" s="6"/>
      <c r="D285" s="6"/>
      <c r="E285" s="6">
        <v>1</v>
      </c>
      <c r="F285" s="6">
        <v>0.14299999999999999</v>
      </c>
      <c r="G285" s="6"/>
      <c r="H285" s="6"/>
      <c r="I285" s="10">
        <f t="shared" si="108"/>
        <v>2.0916000000000001</v>
      </c>
      <c r="J285" s="6">
        <v>5.2290000000000001</v>
      </c>
      <c r="K285" s="6">
        <v>6.0999999999999999E-2</v>
      </c>
      <c r="L285" s="6">
        <v>0.04</v>
      </c>
      <c r="M285" s="4">
        <f t="shared" si="109"/>
        <v>8.0000000000000002E-3</v>
      </c>
      <c r="N285" s="21">
        <f t="shared" si="110"/>
        <v>4.2000000000000003E-2</v>
      </c>
      <c r="O285" s="6">
        <v>2E-3</v>
      </c>
      <c r="P285" s="10">
        <f t="shared" si="111"/>
        <v>0.15300000000000002</v>
      </c>
      <c r="Q285" s="6">
        <v>1</v>
      </c>
      <c r="R285" s="6">
        <v>8.5299999999999994</v>
      </c>
      <c r="S285" s="6">
        <v>1</v>
      </c>
      <c r="T285" s="10">
        <f t="shared" si="117"/>
        <v>7.4735999999999994</v>
      </c>
      <c r="U285" s="6">
        <f t="shared" si="116"/>
        <v>8.5299999999999994</v>
      </c>
      <c r="V285" s="6"/>
      <c r="W285" s="6"/>
      <c r="X285" s="10"/>
      <c r="Y285" s="6"/>
      <c r="Z285" s="10"/>
      <c r="AA285" s="6"/>
      <c r="AB285" s="10"/>
      <c r="AC285" s="6"/>
      <c r="AD285" s="10"/>
      <c r="AE285" s="6"/>
      <c r="AF285" s="6"/>
      <c r="AG285" s="6"/>
      <c r="AH285" s="6"/>
      <c r="AI285" s="4">
        <f t="shared" si="112"/>
        <v>0</v>
      </c>
      <c r="AJ285" s="21">
        <f t="shared" si="113"/>
        <v>0</v>
      </c>
      <c r="AK285" s="6"/>
      <c r="AL285" s="10">
        <f t="shared" si="114"/>
        <v>0</v>
      </c>
      <c r="AM285" s="10"/>
      <c r="AN285" s="6">
        <v>1</v>
      </c>
      <c r="AO285" s="6">
        <v>8.5299999999999994</v>
      </c>
      <c r="AP285" s="6">
        <v>1</v>
      </c>
      <c r="AQ285" s="10">
        <f t="shared" si="115"/>
        <v>7.4735999999999994</v>
      </c>
    </row>
    <row r="286" spans="1:43">
      <c r="A286" s="37" t="s">
        <v>41</v>
      </c>
      <c r="B286" s="14"/>
      <c r="C286" s="6"/>
      <c r="D286" s="6"/>
      <c r="E286" s="6">
        <v>1</v>
      </c>
      <c r="F286" s="6">
        <v>0.36499999999999999</v>
      </c>
      <c r="G286" s="6"/>
      <c r="H286" s="6"/>
      <c r="I286" s="10">
        <f t="shared" si="108"/>
        <v>2.0916000000000001</v>
      </c>
      <c r="J286" s="6">
        <v>5.2290000000000001</v>
      </c>
      <c r="K286" s="6">
        <v>0.156</v>
      </c>
      <c r="L286" s="6">
        <v>0.10199999999999999</v>
      </c>
      <c r="M286" s="4">
        <f t="shared" si="109"/>
        <v>2.1000000000000001E-2</v>
      </c>
      <c r="N286" s="21">
        <f t="shared" si="110"/>
        <v>0.107</v>
      </c>
      <c r="O286" s="6">
        <v>5.0000000000000001E-3</v>
      </c>
      <c r="P286" s="10">
        <f t="shared" si="111"/>
        <v>0.39100000000000001</v>
      </c>
      <c r="Q286" s="6">
        <v>1</v>
      </c>
      <c r="R286" s="6">
        <v>8.5</v>
      </c>
      <c r="S286" s="6">
        <v>1</v>
      </c>
      <c r="T286" s="10">
        <f t="shared" si="117"/>
        <v>7.7116000000000007</v>
      </c>
      <c r="U286" s="6">
        <f t="shared" si="116"/>
        <v>8.5</v>
      </c>
      <c r="V286" s="6"/>
      <c r="W286" s="6"/>
      <c r="X286" s="10"/>
      <c r="Y286" s="6"/>
      <c r="Z286" s="10"/>
      <c r="AA286" s="6"/>
      <c r="AB286" s="10"/>
      <c r="AC286" s="6"/>
      <c r="AD286" s="10"/>
      <c r="AE286" s="6"/>
      <c r="AF286" s="6"/>
      <c r="AG286" s="6"/>
      <c r="AH286" s="6"/>
      <c r="AI286" s="4">
        <f t="shared" si="112"/>
        <v>0</v>
      </c>
      <c r="AJ286" s="21">
        <f t="shared" si="113"/>
        <v>0</v>
      </c>
      <c r="AK286" s="6"/>
      <c r="AL286" s="10">
        <f t="shared" si="114"/>
        <v>0</v>
      </c>
      <c r="AM286" s="10"/>
      <c r="AN286" s="6">
        <v>1</v>
      </c>
      <c r="AO286" s="6">
        <v>8.5</v>
      </c>
      <c r="AP286" s="6">
        <v>1</v>
      </c>
      <c r="AQ286" s="10">
        <f t="shared" si="115"/>
        <v>7.7116000000000007</v>
      </c>
    </row>
    <row r="287" spans="1:43">
      <c r="A287" s="37" t="s">
        <v>49</v>
      </c>
      <c r="B287" s="14"/>
      <c r="C287" s="6"/>
      <c r="D287" s="6"/>
      <c r="E287" s="6">
        <v>1</v>
      </c>
      <c r="F287" s="6">
        <v>0.14299999999999999</v>
      </c>
      <c r="G287" s="6"/>
      <c r="H287" s="6"/>
      <c r="I287" s="10">
        <f t="shared" si="108"/>
        <v>2.0916000000000001</v>
      </c>
      <c r="J287" s="6">
        <v>5.2290000000000001</v>
      </c>
      <c r="K287" s="6">
        <v>6.0999999999999999E-2</v>
      </c>
      <c r="L287" s="6">
        <v>0.04</v>
      </c>
      <c r="M287" s="4">
        <f t="shared" si="109"/>
        <v>8.0000000000000002E-3</v>
      </c>
      <c r="N287" s="21">
        <f t="shared" si="110"/>
        <v>4.2000000000000003E-2</v>
      </c>
      <c r="O287" s="6">
        <v>2E-3</v>
      </c>
      <c r="P287" s="10">
        <f t="shared" si="111"/>
        <v>0.15300000000000002</v>
      </c>
      <c r="Q287" s="6">
        <v>1</v>
      </c>
      <c r="R287" s="6">
        <v>8.43</v>
      </c>
      <c r="S287" s="6">
        <v>1</v>
      </c>
      <c r="T287" s="10">
        <f t="shared" si="117"/>
        <v>7.4735999999999994</v>
      </c>
      <c r="U287" s="6">
        <f t="shared" si="116"/>
        <v>8.43</v>
      </c>
      <c r="V287" s="6"/>
      <c r="W287" s="6"/>
      <c r="X287" s="10"/>
      <c r="Y287" s="6"/>
      <c r="Z287" s="10"/>
      <c r="AA287" s="6"/>
      <c r="AB287" s="10"/>
      <c r="AC287" s="6"/>
      <c r="AD287" s="10"/>
      <c r="AE287" s="6"/>
      <c r="AF287" s="6"/>
      <c r="AG287" s="6"/>
      <c r="AH287" s="6"/>
      <c r="AI287" s="4">
        <f t="shared" si="112"/>
        <v>0</v>
      </c>
      <c r="AJ287" s="21">
        <f t="shared" si="113"/>
        <v>0</v>
      </c>
      <c r="AK287" s="6"/>
      <c r="AL287" s="10">
        <f t="shared" si="114"/>
        <v>0</v>
      </c>
      <c r="AM287" s="10"/>
      <c r="AN287" s="6">
        <v>1</v>
      </c>
      <c r="AO287" s="6">
        <v>8.43</v>
      </c>
      <c r="AP287" s="6">
        <v>1</v>
      </c>
      <c r="AQ287" s="10">
        <f t="shared" si="115"/>
        <v>7.4735999999999994</v>
      </c>
    </row>
    <row r="288" spans="1:43">
      <c r="A288" s="37" t="s">
        <v>50</v>
      </c>
      <c r="B288" s="14"/>
      <c r="C288" s="6"/>
      <c r="D288" s="6"/>
      <c r="E288" s="6"/>
      <c r="F288" s="6"/>
      <c r="G288" s="6"/>
      <c r="H288" s="6"/>
      <c r="I288" s="10">
        <f t="shared" si="108"/>
        <v>0</v>
      </c>
      <c r="J288" s="6"/>
      <c r="K288" s="6"/>
      <c r="L288" s="6"/>
      <c r="M288" s="4">
        <f t="shared" si="109"/>
        <v>0</v>
      </c>
      <c r="N288" s="21">
        <f t="shared" si="110"/>
        <v>0</v>
      </c>
      <c r="O288" s="6"/>
      <c r="P288" s="10">
        <f t="shared" si="111"/>
        <v>0</v>
      </c>
      <c r="Q288" s="6">
        <v>1</v>
      </c>
      <c r="R288" s="6">
        <v>4.29</v>
      </c>
      <c r="S288" s="6"/>
      <c r="T288" s="10"/>
      <c r="U288" s="6"/>
      <c r="V288" s="6"/>
      <c r="W288" s="6">
        <v>1</v>
      </c>
      <c r="X288" s="10">
        <v>0.05</v>
      </c>
      <c r="Y288" s="6"/>
      <c r="Z288" s="10"/>
      <c r="AA288" s="6"/>
      <c r="AB288" s="10"/>
      <c r="AC288" s="6"/>
      <c r="AD288" s="10"/>
      <c r="AE288" s="6"/>
      <c r="AF288" s="6"/>
      <c r="AG288" s="6"/>
      <c r="AH288" s="6"/>
      <c r="AI288" s="4">
        <f t="shared" si="112"/>
        <v>0</v>
      </c>
      <c r="AJ288" s="21">
        <f t="shared" si="113"/>
        <v>0</v>
      </c>
      <c r="AK288" s="6"/>
      <c r="AL288" s="10">
        <f t="shared" si="114"/>
        <v>0</v>
      </c>
      <c r="AM288" s="10"/>
      <c r="AN288" s="6">
        <v>1</v>
      </c>
      <c r="AO288" s="6">
        <v>4.29</v>
      </c>
      <c r="AP288" s="6">
        <v>1</v>
      </c>
      <c r="AQ288" s="10">
        <v>3.45</v>
      </c>
    </row>
    <row r="289" spans="1:45">
      <c r="A289" s="37" t="s">
        <v>25</v>
      </c>
      <c r="B289" s="14"/>
      <c r="C289" s="6"/>
      <c r="D289" s="6"/>
      <c r="E289" s="6"/>
      <c r="F289" s="6"/>
      <c r="G289" s="6"/>
      <c r="H289" s="6"/>
      <c r="I289" s="10">
        <f t="shared" si="108"/>
        <v>0</v>
      </c>
      <c r="J289" s="6"/>
      <c r="K289" s="6"/>
      <c r="L289" s="6"/>
      <c r="M289" s="4">
        <f t="shared" si="109"/>
        <v>0</v>
      </c>
      <c r="N289" s="21">
        <f t="shared" si="110"/>
        <v>0</v>
      </c>
      <c r="O289" s="6"/>
      <c r="P289" s="10">
        <f t="shared" si="111"/>
        <v>0</v>
      </c>
      <c r="Q289" s="6">
        <v>1</v>
      </c>
      <c r="R289" s="6">
        <v>4.3</v>
      </c>
      <c r="S289" s="6"/>
      <c r="T289" s="10"/>
      <c r="U289" s="6"/>
      <c r="V289" s="6"/>
      <c r="W289" s="6">
        <v>1</v>
      </c>
      <c r="X289" s="10">
        <v>0.05</v>
      </c>
      <c r="Y289" s="6"/>
      <c r="Z289" s="10"/>
      <c r="AA289" s="6"/>
      <c r="AB289" s="10"/>
      <c r="AC289" s="6"/>
      <c r="AD289" s="10"/>
      <c r="AE289" s="6"/>
      <c r="AF289" s="6"/>
      <c r="AG289" s="6"/>
      <c r="AH289" s="6"/>
      <c r="AI289" s="4">
        <f t="shared" si="112"/>
        <v>0</v>
      </c>
      <c r="AJ289" s="21">
        <f t="shared" si="113"/>
        <v>0</v>
      </c>
      <c r="AK289" s="6"/>
      <c r="AL289" s="10">
        <f t="shared" si="114"/>
        <v>0</v>
      </c>
      <c r="AM289" s="10"/>
      <c r="AN289" s="6">
        <v>1</v>
      </c>
      <c r="AO289" s="6">
        <v>4.3</v>
      </c>
      <c r="AP289" s="6">
        <v>1</v>
      </c>
      <c r="AQ289" s="10">
        <v>3.47</v>
      </c>
    </row>
    <row r="290" spans="1:45">
      <c r="A290" s="37" t="s">
        <v>51</v>
      </c>
      <c r="B290" s="14"/>
      <c r="C290" s="6"/>
      <c r="D290" s="6"/>
      <c r="E290" s="6"/>
      <c r="F290" s="6"/>
      <c r="G290" s="6"/>
      <c r="H290" s="6"/>
      <c r="I290" s="10">
        <f t="shared" si="108"/>
        <v>0</v>
      </c>
      <c r="J290" s="6"/>
      <c r="K290" s="6"/>
      <c r="L290" s="6"/>
      <c r="M290" s="4">
        <f t="shared" si="109"/>
        <v>0</v>
      </c>
      <c r="N290" s="21">
        <f t="shared" si="110"/>
        <v>0</v>
      </c>
      <c r="O290" s="6"/>
      <c r="P290" s="10">
        <f t="shared" si="111"/>
        <v>0</v>
      </c>
      <c r="Q290" s="6">
        <v>1</v>
      </c>
      <c r="R290" s="6">
        <v>47.2</v>
      </c>
      <c r="S290" s="6"/>
      <c r="T290" s="10"/>
      <c r="U290" s="6"/>
      <c r="V290" s="6"/>
      <c r="W290" s="6"/>
      <c r="X290" s="10"/>
      <c r="Y290" s="6"/>
      <c r="Z290" s="10"/>
      <c r="AA290" s="6"/>
      <c r="AB290" s="10"/>
      <c r="AC290" s="6"/>
      <c r="AD290" s="10"/>
      <c r="AE290" s="6"/>
      <c r="AF290" s="6"/>
      <c r="AG290" s="6"/>
      <c r="AH290" s="6"/>
      <c r="AI290" s="4">
        <f t="shared" si="112"/>
        <v>0</v>
      </c>
      <c r="AJ290" s="21">
        <f t="shared" si="113"/>
        <v>0</v>
      </c>
      <c r="AK290" s="6"/>
      <c r="AL290" s="10">
        <f t="shared" si="114"/>
        <v>0</v>
      </c>
      <c r="AM290" s="10"/>
      <c r="AN290" s="6">
        <v>1</v>
      </c>
      <c r="AO290" s="6">
        <v>47.2</v>
      </c>
      <c r="AP290" s="6">
        <v>0</v>
      </c>
      <c r="AQ290" s="26">
        <f t="shared" si="115"/>
        <v>0</v>
      </c>
    </row>
    <row r="291" spans="1:45">
      <c r="A291" s="37" t="s">
        <v>52</v>
      </c>
      <c r="B291" s="14"/>
      <c r="C291" s="6"/>
      <c r="D291" s="6"/>
      <c r="E291" s="6">
        <v>1</v>
      </c>
      <c r="F291" s="6">
        <v>0.28699999999999998</v>
      </c>
      <c r="G291" s="6"/>
      <c r="H291" s="6"/>
      <c r="I291" s="10">
        <f t="shared" si="108"/>
        <v>9.7607999999999997</v>
      </c>
      <c r="J291" s="6">
        <v>24.402000000000001</v>
      </c>
      <c r="K291" s="6">
        <v>0.122</v>
      </c>
      <c r="L291" s="6">
        <v>0.08</v>
      </c>
      <c r="M291" s="4">
        <f t="shared" si="109"/>
        <v>1.6E-2</v>
      </c>
      <c r="N291" s="21">
        <f t="shared" si="110"/>
        <v>8.4000000000000005E-2</v>
      </c>
      <c r="O291" s="6">
        <v>4.0000000000000001E-3</v>
      </c>
      <c r="P291" s="10">
        <f t="shared" si="111"/>
        <v>0.30600000000000005</v>
      </c>
      <c r="Q291" s="6">
        <v>1</v>
      </c>
      <c r="R291" s="6">
        <v>42.91</v>
      </c>
      <c r="S291" s="6">
        <v>1</v>
      </c>
      <c r="T291" s="10">
        <f t="shared" ref="T291:T297" si="118">P291+J291+I291</f>
        <v>34.468800000000002</v>
      </c>
      <c r="U291" s="6">
        <f t="shared" ref="U291:U297" si="119">R291</f>
        <v>42.91</v>
      </c>
      <c r="V291" s="6"/>
      <c r="W291" s="6"/>
      <c r="X291" s="10"/>
      <c r="Y291" s="6"/>
      <c r="Z291" s="10"/>
      <c r="AA291" s="6"/>
      <c r="AB291" s="10"/>
      <c r="AC291" s="6"/>
      <c r="AD291" s="10"/>
      <c r="AE291" s="6"/>
      <c r="AF291" s="6"/>
      <c r="AG291" s="6"/>
      <c r="AH291" s="6"/>
      <c r="AI291" s="4">
        <f t="shared" si="112"/>
        <v>0</v>
      </c>
      <c r="AJ291" s="21">
        <f t="shared" si="113"/>
        <v>0</v>
      </c>
      <c r="AK291" s="6"/>
      <c r="AL291" s="10">
        <f t="shared" si="114"/>
        <v>0</v>
      </c>
      <c r="AM291" s="10"/>
      <c r="AN291" s="6">
        <v>1</v>
      </c>
      <c r="AO291" s="6">
        <v>42.91</v>
      </c>
      <c r="AP291" s="6">
        <v>1</v>
      </c>
      <c r="AQ291" s="10">
        <f t="shared" si="115"/>
        <v>34.468800000000002</v>
      </c>
    </row>
    <row r="292" spans="1:45">
      <c r="A292" s="37" t="s">
        <v>18</v>
      </c>
      <c r="B292" s="14"/>
      <c r="C292" s="6"/>
      <c r="D292" s="6"/>
      <c r="E292" s="6">
        <v>1</v>
      </c>
      <c r="F292" s="6">
        <v>0.28699999999999998</v>
      </c>
      <c r="G292" s="6"/>
      <c r="H292" s="6"/>
      <c r="I292" s="10">
        <f t="shared" si="108"/>
        <v>6.9715999999999996</v>
      </c>
      <c r="J292" s="6">
        <v>17.428999999999998</v>
      </c>
      <c r="K292" s="6">
        <v>0.122</v>
      </c>
      <c r="L292" s="6">
        <v>0.08</v>
      </c>
      <c r="M292" s="4">
        <f t="shared" si="109"/>
        <v>1.6E-2</v>
      </c>
      <c r="N292" s="21">
        <f t="shared" si="110"/>
        <v>8.4000000000000005E-2</v>
      </c>
      <c r="O292" s="6">
        <v>4.0000000000000001E-3</v>
      </c>
      <c r="P292" s="10">
        <f t="shared" si="111"/>
        <v>0.30600000000000005</v>
      </c>
      <c r="Q292" s="6">
        <v>1</v>
      </c>
      <c r="R292" s="6">
        <v>34.33</v>
      </c>
      <c r="S292" s="6">
        <v>1</v>
      </c>
      <c r="T292" s="10">
        <f t="shared" si="118"/>
        <v>24.706599999999998</v>
      </c>
      <c r="U292" s="6">
        <f t="shared" si="119"/>
        <v>34.33</v>
      </c>
      <c r="V292" s="6"/>
      <c r="W292" s="6"/>
      <c r="X292" s="10"/>
      <c r="Y292" s="6"/>
      <c r="Z292" s="10"/>
      <c r="AA292" s="6"/>
      <c r="AB292" s="10"/>
      <c r="AC292" s="6"/>
      <c r="AD292" s="10"/>
      <c r="AE292" s="6"/>
      <c r="AF292" s="6"/>
      <c r="AG292" s="6"/>
      <c r="AH292" s="6"/>
      <c r="AI292" s="4">
        <f t="shared" si="112"/>
        <v>0</v>
      </c>
      <c r="AJ292" s="21">
        <f t="shared" si="113"/>
        <v>0</v>
      </c>
      <c r="AK292" s="6"/>
      <c r="AL292" s="10">
        <f t="shared" si="114"/>
        <v>0</v>
      </c>
      <c r="AM292" s="10"/>
      <c r="AN292" s="6">
        <v>1</v>
      </c>
      <c r="AO292" s="6">
        <v>34.33</v>
      </c>
      <c r="AP292" s="6">
        <v>0</v>
      </c>
      <c r="AQ292" s="10">
        <v>0</v>
      </c>
    </row>
    <row r="293" spans="1:45">
      <c r="A293" s="37" t="s">
        <v>53</v>
      </c>
      <c r="B293" s="14"/>
      <c r="C293" s="6"/>
      <c r="D293" s="6"/>
      <c r="E293" s="6">
        <v>1</v>
      </c>
      <c r="F293" s="6">
        <v>0.14299999999999999</v>
      </c>
      <c r="G293" s="6"/>
      <c r="H293" s="6"/>
      <c r="I293" s="10">
        <f t="shared" si="108"/>
        <v>9.76</v>
      </c>
      <c r="J293" s="6">
        <v>24.4</v>
      </c>
      <c r="K293" s="6">
        <v>6.0999999999999999E-2</v>
      </c>
      <c r="L293" s="6">
        <v>0.04</v>
      </c>
      <c r="M293" s="4">
        <f t="shared" si="109"/>
        <v>8.0000000000000002E-3</v>
      </c>
      <c r="N293" s="21">
        <f t="shared" si="110"/>
        <v>4.2000000000000003E-2</v>
      </c>
      <c r="O293" s="6">
        <v>2E-3</v>
      </c>
      <c r="P293" s="10">
        <f t="shared" si="111"/>
        <v>0.15300000000000002</v>
      </c>
      <c r="Q293" s="6">
        <v>1</v>
      </c>
      <c r="R293" s="6">
        <v>25.74</v>
      </c>
      <c r="S293" s="6">
        <v>1</v>
      </c>
      <c r="T293" s="10">
        <f t="shared" si="118"/>
        <v>34.312999999999995</v>
      </c>
      <c r="U293" s="6">
        <f t="shared" si="119"/>
        <v>25.74</v>
      </c>
      <c r="V293" s="6"/>
      <c r="W293" s="6"/>
      <c r="X293" s="10"/>
      <c r="Y293" s="6"/>
      <c r="Z293" s="10"/>
      <c r="AA293" s="6"/>
      <c r="AB293" s="10"/>
      <c r="AC293" s="6"/>
      <c r="AD293" s="10"/>
      <c r="AE293" s="6"/>
      <c r="AF293" s="6"/>
      <c r="AG293" s="6"/>
      <c r="AH293" s="6"/>
      <c r="AI293" s="4">
        <f t="shared" si="112"/>
        <v>0</v>
      </c>
      <c r="AJ293" s="21">
        <f t="shared" si="113"/>
        <v>0</v>
      </c>
      <c r="AK293" s="6"/>
      <c r="AL293" s="10">
        <f t="shared" si="114"/>
        <v>0</v>
      </c>
      <c r="AM293" s="10"/>
      <c r="AN293" s="6">
        <v>1</v>
      </c>
      <c r="AO293" s="6">
        <v>25.74</v>
      </c>
      <c r="AP293" s="6">
        <v>1</v>
      </c>
      <c r="AQ293" s="10">
        <f t="shared" si="115"/>
        <v>34.312999999999995</v>
      </c>
    </row>
    <row r="294" spans="1:45">
      <c r="A294" s="37" t="s">
        <v>54</v>
      </c>
      <c r="B294" s="14"/>
      <c r="C294" s="6"/>
      <c r="D294" s="6"/>
      <c r="E294" s="6"/>
      <c r="F294" s="6"/>
      <c r="G294" s="6"/>
      <c r="H294" s="6"/>
      <c r="I294" s="10">
        <f t="shared" si="108"/>
        <v>3.4859999999999998</v>
      </c>
      <c r="J294" s="6">
        <v>8.7149999999999999</v>
      </c>
      <c r="K294" s="6"/>
      <c r="L294" s="6"/>
      <c r="M294" s="4">
        <f t="shared" si="109"/>
        <v>0</v>
      </c>
      <c r="N294" s="21">
        <f t="shared" si="110"/>
        <v>0</v>
      </c>
      <c r="O294" s="6"/>
      <c r="P294" s="10">
        <f t="shared" si="111"/>
        <v>0</v>
      </c>
      <c r="Q294" s="6">
        <v>1</v>
      </c>
      <c r="R294" s="6">
        <v>12.92</v>
      </c>
      <c r="S294" s="6">
        <v>1</v>
      </c>
      <c r="T294" s="10">
        <f t="shared" si="118"/>
        <v>12.201000000000001</v>
      </c>
      <c r="U294" s="6">
        <f t="shared" si="119"/>
        <v>12.92</v>
      </c>
      <c r="V294" s="6"/>
      <c r="W294" s="6"/>
      <c r="X294" s="10"/>
      <c r="Y294" s="6"/>
      <c r="Z294" s="10"/>
      <c r="AA294" s="6"/>
      <c r="AB294" s="10"/>
      <c r="AC294" s="6"/>
      <c r="AD294" s="10"/>
      <c r="AE294" s="6"/>
      <c r="AF294" s="6"/>
      <c r="AG294" s="6"/>
      <c r="AH294" s="6"/>
      <c r="AI294" s="4">
        <f t="shared" si="112"/>
        <v>0</v>
      </c>
      <c r="AJ294" s="21">
        <f t="shared" si="113"/>
        <v>0</v>
      </c>
      <c r="AK294" s="6"/>
      <c r="AL294" s="10">
        <f t="shared" si="114"/>
        <v>0</v>
      </c>
      <c r="AM294" s="10"/>
      <c r="AN294" s="6">
        <v>1</v>
      </c>
      <c r="AO294" s="6">
        <v>12.92</v>
      </c>
      <c r="AP294" s="6">
        <v>1</v>
      </c>
      <c r="AQ294" s="10">
        <f t="shared" si="115"/>
        <v>12.201000000000001</v>
      </c>
    </row>
    <row r="295" spans="1:45">
      <c r="A295" s="37" t="s">
        <v>55</v>
      </c>
      <c r="B295" s="14"/>
      <c r="C295" s="6"/>
      <c r="D295" s="6"/>
      <c r="E295" s="6">
        <v>1</v>
      </c>
      <c r="F295" s="6">
        <v>6.5000000000000002E-2</v>
      </c>
      <c r="G295" s="6"/>
      <c r="H295" s="6"/>
      <c r="I295" s="10">
        <f t="shared" si="108"/>
        <v>3.4859999999999998</v>
      </c>
      <c r="J295" s="6">
        <v>8.7149999999999999</v>
      </c>
      <c r="K295" s="6">
        <v>2.8000000000000001E-2</v>
      </c>
      <c r="L295" s="6">
        <v>1.7999999999999999E-2</v>
      </c>
      <c r="M295" s="4">
        <f t="shared" si="109"/>
        <v>4.0000000000000001E-3</v>
      </c>
      <c r="N295" s="21">
        <f t="shared" si="110"/>
        <v>1.9E-2</v>
      </c>
      <c r="O295" s="6">
        <v>1E-3</v>
      </c>
      <c r="P295" s="10">
        <f t="shared" si="111"/>
        <v>7.0000000000000007E-2</v>
      </c>
      <c r="Q295" s="6">
        <v>1</v>
      </c>
      <c r="R295" s="6">
        <v>12.76</v>
      </c>
      <c r="S295" s="6">
        <v>1</v>
      </c>
      <c r="T295" s="10">
        <f t="shared" si="118"/>
        <v>12.271000000000001</v>
      </c>
      <c r="U295" s="6">
        <f t="shared" si="119"/>
        <v>12.76</v>
      </c>
      <c r="V295" s="6"/>
      <c r="W295" s="6"/>
      <c r="X295" s="10"/>
      <c r="Y295" s="6"/>
      <c r="Z295" s="10"/>
      <c r="AA295" s="6"/>
      <c r="AB295" s="10"/>
      <c r="AC295" s="6"/>
      <c r="AD295" s="10"/>
      <c r="AE295" s="6"/>
      <c r="AF295" s="6"/>
      <c r="AG295" s="6"/>
      <c r="AH295" s="6"/>
      <c r="AI295" s="4">
        <f t="shared" si="112"/>
        <v>0</v>
      </c>
      <c r="AJ295" s="21">
        <f t="shared" si="113"/>
        <v>0</v>
      </c>
      <c r="AK295" s="6"/>
      <c r="AL295" s="10">
        <f t="shared" si="114"/>
        <v>0</v>
      </c>
      <c r="AM295" s="10"/>
      <c r="AN295" s="6">
        <v>1</v>
      </c>
      <c r="AO295" s="6">
        <v>12.76</v>
      </c>
      <c r="AP295" s="6">
        <v>1</v>
      </c>
      <c r="AQ295" s="10">
        <f t="shared" si="115"/>
        <v>12.271000000000001</v>
      </c>
    </row>
    <row r="296" spans="1:45">
      <c r="A296" s="37" t="s">
        <v>56</v>
      </c>
      <c r="B296" s="14"/>
      <c r="C296" s="6"/>
      <c r="D296" s="6"/>
      <c r="E296" s="6">
        <v>1</v>
      </c>
      <c r="F296" s="6">
        <v>0.14299999999999999</v>
      </c>
      <c r="G296" s="6"/>
      <c r="H296" s="6"/>
      <c r="I296" s="10">
        <f t="shared" si="108"/>
        <v>3.4859999999999998</v>
      </c>
      <c r="J296" s="6">
        <v>8.7149999999999999</v>
      </c>
      <c r="K296" s="6">
        <v>6.0999999999999999E-2</v>
      </c>
      <c r="L296" s="6">
        <v>0.04</v>
      </c>
      <c r="M296" s="4">
        <f t="shared" si="109"/>
        <v>8.0000000000000002E-3</v>
      </c>
      <c r="N296" s="21">
        <f t="shared" si="110"/>
        <v>4.2000000000000003E-2</v>
      </c>
      <c r="O296" s="6">
        <v>2E-3</v>
      </c>
      <c r="P296" s="10">
        <f t="shared" si="111"/>
        <v>0.15300000000000002</v>
      </c>
      <c r="Q296" s="6">
        <v>1</v>
      </c>
      <c r="R296" s="6">
        <v>12.87</v>
      </c>
      <c r="S296" s="6">
        <v>1</v>
      </c>
      <c r="T296" s="10">
        <f t="shared" si="118"/>
        <v>12.353999999999999</v>
      </c>
      <c r="U296" s="6">
        <f t="shared" si="119"/>
        <v>12.87</v>
      </c>
      <c r="V296" s="6"/>
      <c r="W296" s="6"/>
      <c r="X296" s="10"/>
      <c r="Y296" s="6"/>
      <c r="Z296" s="10"/>
      <c r="AA296" s="6"/>
      <c r="AB296" s="10"/>
      <c r="AC296" s="6"/>
      <c r="AD296" s="10"/>
      <c r="AE296" s="6"/>
      <c r="AF296" s="6"/>
      <c r="AG296" s="6"/>
      <c r="AH296" s="6"/>
      <c r="AI296" s="4">
        <f t="shared" si="112"/>
        <v>0</v>
      </c>
      <c r="AJ296" s="21">
        <f t="shared" si="113"/>
        <v>0</v>
      </c>
      <c r="AK296" s="6"/>
      <c r="AL296" s="10">
        <f t="shared" si="114"/>
        <v>0</v>
      </c>
      <c r="AM296" s="10"/>
      <c r="AN296" s="6">
        <v>1</v>
      </c>
      <c r="AO296" s="6">
        <v>12.87</v>
      </c>
      <c r="AP296" s="6">
        <v>1</v>
      </c>
      <c r="AQ296" s="10">
        <f t="shared" si="115"/>
        <v>12.353999999999999</v>
      </c>
    </row>
    <row r="297" spans="1:45">
      <c r="A297" s="37" t="s">
        <v>26</v>
      </c>
      <c r="B297" s="14"/>
      <c r="C297" s="6"/>
      <c r="D297" s="6"/>
      <c r="E297" s="6">
        <v>1</v>
      </c>
      <c r="F297" s="6">
        <v>6.5000000000000002E-2</v>
      </c>
      <c r="G297" s="6"/>
      <c r="H297" s="6"/>
      <c r="I297" s="10">
        <f t="shared" si="108"/>
        <v>6.9715999999999996</v>
      </c>
      <c r="J297" s="6">
        <v>17.428999999999998</v>
      </c>
      <c r="K297" s="6">
        <v>2.8000000000000001E-2</v>
      </c>
      <c r="L297" s="6">
        <v>1.7999999999999999E-2</v>
      </c>
      <c r="M297" s="4">
        <f t="shared" si="109"/>
        <v>4.0000000000000001E-3</v>
      </c>
      <c r="N297" s="21">
        <f t="shared" si="110"/>
        <v>1.9E-2</v>
      </c>
      <c r="O297" s="6">
        <v>1E-3</v>
      </c>
      <c r="P297" s="10">
        <f t="shared" si="111"/>
        <v>7.0000000000000007E-2</v>
      </c>
      <c r="Q297" s="6">
        <v>1</v>
      </c>
      <c r="R297" s="6">
        <v>17.16</v>
      </c>
      <c r="S297" s="6">
        <v>1</v>
      </c>
      <c r="T297" s="10">
        <f t="shared" si="118"/>
        <v>24.470599999999997</v>
      </c>
      <c r="U297" s="6">
        <f t="shared" si="119"/>
        <v>17.16</v>
      </c>
      <c r="V297" s="6"/>
      <c r="W297" s="6"/>
      <c r="X297" s="10"/>
      <c r="Y297" s="6"/>
      <c r="Z297" s="10"/>
      <c r="AA297" s="6"/>
      <c r="AB297" s="10"/>
      <c r="AC297" s="6"/>
      <c r="AD297" s="10"/>
      <c r="AE297" s="6"/>
      <c r="AF297" s="6"/>
      <c r="AG297" s="6"/>
      <c r="AH297" s="6"/>
      <c r="AI297" s="4">
        <f t="shared" si="112"/>
        <v>0</v>
      </c>
      <c r="AJ297" s="21">
        <f t="shared" si="113"/>
        <v>0</v>
      </c>
      <c r="AK297" s="6"/>
      <c r="AL297" s="10">
        <f t="shared" si="114"/>
        <v>0</v>
      </c>
      <c r="AM297" s="10"/>
      <c r="AN297" s="6">
        <v>1</v>
      </c>
      <c r="AO297" s="6">
        <v>17.16</v>
      </c>
      <c r="AP297" s="6">
        <v>1</v>
      </c>
      <c r="AQ297" s="10">
        <f t="shared" si="115"/>
        <v>24.470599999999997</v>
      </c>
    </row>
    <row r="298" spans="1:45">
      <c r="A298" s="37" t="s">
        <v>27</v>
      </c>
      <c r="B298" s="14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4">
        <f t="shared" si="109"/>
        <v>0</v>
      </c>
      <c r="N298" s="21">
        <f t="shared" si="110"/>
        <v>0</v>
      </c>
      <c r="O298" s="6"/>
      <c r="P298" s="10">
        <f t="shared" si="111"/>
        <v>0</v>
      </c>
      <c r="Q298" s="6">
        <v>1</v>
      </c>
      <c r="R298" s="6">
        <v>4.2699999999999996</v>
      </c>
      <c r="S298" s="6"/>
      <c r="T298" s="6"/>
      <c r="U298" s="6"/>
      <c r="V298" s="6"/>
      <c r="W298" s="6">
        <v>1</v>
      </c>
      <c r="X298" s="6">
        <v>0.05</v>
      </c>
      <c r="Y298" s="6"/>
      <c r="Z298" s="6"/>
      <c r="AA298" s="6"/>
      <c r="AB298" s="6"/>
      <c r="AC298" s="6"/>
      <c r="AD298" s="6"/>
      <c r="AE298" s="6"/>
      <c r="AF298" s="6">
        <v>1</v>
      </c>
      <c r="AG298" s="6"/>
      <c r="AH298" s="6"/>
      <c r="AI298" s="4">
        <f t="shared" si="112"/>
        <v>0</v>
      </c>
      <c r="AJ298" s="21">
        <f t="shared" si="113"/>
        <v>0</v>
      </c>
      <c r="AK298" s="6"/>
      <c r="AL298" s="10">
        <f t="shared" si="114"/>
        <v>0</v>
      </c>
      <c r="AM298" s="10"/>
      <c r="AN298" s="6">
        <v>1</v>
      </c>
      <c r="AO298" s="6">
        <v>4.2699999999999996</v>
      </c>
      <c r="AP298" s="6">
        <v>1</v>
      </c>
      <c r="AQ298" s="10">
        <v>3.46</v>
      </c>
    </row>
    <row r="299" spans="1:45">
      <c r="A299" s="37" t="s">
        <v>57</v>
      </c>
      <c r="B299" s="14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4">
        <f t="shared" si="109"/>
        <v>0</v>
      </c>
      <c r="N299" s="21">
        <f t="shared" si="110"/>
        <v>0</v>
      </c>
      <c r="O299" s="6"/>
      <c r="P299" s="10">
        <f t="shared" si="111"/>
        <v>0</v>
      </c>
      <c r="Q299" s="6">
        <v>1</v>
      </c>
      <c r="R299" s="6">
        <v>4.3499999999999996</v>
      </c>
      <c r="S299" s="6"/>
      <c r="T299" s="6"/>
      <c r="U299" s="6"/>
      <c r="V299" s="6"/>
      <c r="W299" s="6">
        <v>1</v>
      </c>
      <c r="X299" s="6">
        <v>0.05</v>
      </c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4">
        <f t="shared" si="112"/>
        <v>0</v>
      </c>
      <c r="AJ299" s="21">
        <f t="shared" si="113"/>
        <v>0</v>
      </c>
      <c r="AK299" s="6"/>
      <c r="AL299" s="10">
        <f t="shared" si="114"/>
        <v>0</v>
      </c>
      <c r="AM299" s="10"/>
      <c r="AN299" s="6">
        <v>1</v>
      </c>
      <c r="AO299" s="6">
        <v>4.3499999999999996</v>
      </c>
      <c r="AP299" s="6">
        <v>1</v>
      </c>
      <c r="AQ299" s="10">
        <v>3.45</v>
      </c>
    </row>
    <row r="300" spans="1:45">
      <c r="A300" s="37" t="s">
        <v>29</v>
      </c>
      <c r="B300" s="14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4">
        <f t="shared" si="109"/>
        <v>0</v>
      </c>
      <c r="N300" s="21">
        <f t="shared" si="110"/>
        <v>0</v>
      </c>
      <c r="O300" s="6"/>
      <c r="P300" s="10">
        <f t="shared" si="111"/>
        <v>0</v>
      </c>
      <c r="Q300" s="6">
        <v>1</v>
      </c>
      <c r="R300" s="6">
        <v>4.29</v>
      </c>
      <c r="S300" s="6"/>
      <c r="T300" s="6"/>
      <c r="U300" s="6"/>
      <c r="V300" s="6"/>
      <c r="W300" s="6">
        <v>1</v>
      </c>
      <c r="X300" s="6">
        <v>0.05</v>
      </c>
      <c r="Y300" s="6"/>
      <c r="Z300" s="6"/>
      <c r="AA300" s="6"/>
      <c r="AB300" s="6"/>
      <c r="AC300" s="6"/>
      <c r="AD300" s="6"/>
      <c r="AE300" s="6"/>
      <c r="AF300" s="6">
        <v>1</v>
      </c>
      <c r="AG300" s="6"/>
      <c r="AH300" s="6"/>
      <c r="AI300" s="4">
        <f t="shared" si="112"/>
        <v>0</v>
      </c>
      <c r="AJ300" s="21">
        <f>ROUND((AH300)*0.8138,3)</f>
        <v>0</v>
      </c>
      <c r="AK300" s="6"/>
      <c r="AL300" s="10">
        <f t="shared" si="114"/>
        <v>0</v>
      </c>
      <c r="AM300" s="10"/>
      <c r="AN300" s="6">
        <v>1</v>
      </c>
      <c r="AO300" s="6">
        <v>4.29</v>
      </c>
      <c r="AP300" s="6">
        <v>1</v>
      </c>
      <c r="AQ300" s="10">
        <v>3.46</v>
      </c>
    </row>
    <row r="301" spans="1:45" ht="12">
      <c r="A301" s="39" t="s">
        <v>71</v>
      </c>
      <c r="B301" s="33" t="s">
        <v>72</v>
      </c>
      <c r="C301" s="30"/>
      <c r="D301" s="30"/>
      <c r="E301" s="30">
        <f>SUM(E304:E309)</f>
        <v>0</v>
      </c>
      <c r="F301" s="30">
        <f>SUM(F304:F309)</f>
        <v>0</v>
      </c>
      <c r="G301" s="30"/>
      <c r="H301" s="30"/>
      <c r="I301" s="30">
        <f>SUM(I304:I309)</f>
        <v>0</v>
      </c>
      <c r="J301" s="30">
        <f>SUM(J304:J309)</f>
        <v>0</v>
      </c>
      <c r="K301" s="30"/>
      <c r="L301" s="30"/>
      <c r="M301" s="30"/>
      <c r="N301" s="30"/>
      <c r="O301" s="30"/>
      <c r="P301" s="30"/>
      <c r="Q301" s="30"/>
      <c r="R301" s="30"/>
      <c r="S301" s="30">
        <f>SUM(S304:S309)</f>
        <v>0</v>
      </c>
      <c r="T301" s="30">
        <f>SUM(T304:T309)</f>
        <v>0</v>
      </c>
      <c r="U301" s="30"/>
      <c r="V301" s="30"/>
      <c r="W301" s="30">
        <f>SUM(W304:W309)</f>
        <v>0</v>
      </c>
      <c r="X301" s="30">
        <f>SUM(X304:X309)</f>
        <v>0</v>
      </c>
      <c r="Y301" s="30">
        <f>SUM(Y302:Y309)</f>
        <v>91</v>
      </c>
      <c r="Z301" s="30">
        <f>SUM(Z302:Z309)</f>
        <v>3.2989999999999999</v>
      </c>
      <c r="AA301" s="30">
        <f>SUM(AA302:AA309)</f>
        <v>91</v>
      </c>
      <c r="AB301" s="30">
        <f>SUM(AB302:AB309)</f>
        <v>3.2989999999999999</v>
      </c>
      <c r="AC301" s="30">
        <f>SUM(AC304:AC309)</f>
        <v>0</v>
      </c>
      <c r="AD301" s="30">
        <f>SUM(AD304:AD309)</f>
        <v>0</v>
      </c>
      <c r="AE301" s="30"/>
      <c r="AF301" s="30">
        <f>SUM(AF302:AF309)</f>
        <v>91</v>
      </c>
      <c r="AG301" s="30"/>
      <c r="AH301" s="30"/>
      <c r="AI301" s="30"/>
      <c r="AJ301" s="30"/>
      <c r="AK301" s="30"/>
      <c r="AL301" s="30"/>
      <c r="AM301" s="30"/>
      <c r="AN301" s="30">
        <v>0</v>
      </c>
      <c r="AO301" s="30">
        <v>0</v>
      </c>
      <c r="AP301" s="30">
        <f>SUM(AP302:AP309)</f>
        <v>91</v>
      </c>
      <c r="AQ301" s="30">
        <f>SUM(AQ302:AQ309)</f>
        <v>3.2989999999999999</v>
      </c>
    </row>
    <row r="302" spans="1:45" s="3" customFormat="1" ht="12">
      <c r="A302" s="37" t="s">
        <v>21</v>
      </c>
      <c r="B302" s="14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>
        <v>3</v>
      </c>
      <c r="Z302" s="6">
        <v>6.9000000000000006E-2</v>
      </c>
      <c r="AA302" s="6">
        <v>3</v>
      </c>
      <c r="AB302" s="6">
        <v>6.9000000000000006E-2</v>
      </c>
      <c r="AC302" s="6"/>
      <c r="AD302" s="6"/>
      <c r="AE302" s="6"/>
      <c r="AF302" s="6">
        <v>3</v>
      </c>
      <c r="AG302" s="6"/>
      <c r="AH302" s="6"/>
      <c r="AI302" s="6"/>
      <c r="AJ302" s="6"/>
      <c r="AK302" s="6"/>
      <c r="AL302" s="6"/>
      <c r="AM302" s="6"/>
      <c r="AN302" s="6">
        <v>0</v>
      </c>
      <c r="AO302" s="6">
        <v>0</v>
      </c>
      <c r="AP302" s="6">
        <f>AF302</f>
        <v>3</v>
      </c>
      <c r="AQ302" s="6">
        <v>6.9000000000000006E-2</v>
      </c>
    </row>
    <row r="303" spans="1:45" s="3" customFormat="1" ht="12">
      <c r="A303" s="37" t="s">
        <v>43</v>
      </c>
      <c r="B303" s="14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>
        <v>3</v>
      </c>
      <c r="Z303" s="6">
        <v>6.9000000000000006E-2</v>
      </c>
      <c r="AA303" s="6">
        <v>3</v>
      </c>
      <c r="AB303" s="6">
        <v>6.9000000000000006E-2</v>
      </c>
      <c r="AC303" s="6"/>
      <c r="AD303" s="6"/>
      <c r="AE303" s="6"/>
      <c r="AF303" s="6">
        <v>3</v>
      </c>
      <c r="AG303" s="6"/>
      <c r="AH303" s="6"/>
      <c r="AI303" s="6"/>
      <c r="AJ303" s="6"/>
      <c r="AK303" s="6"/>
      <c r="AL303" s="6"/>
      <c r="AM303" s="6"/>
      <c r="AN303" s="6">
        <v>0</v>
      </c>
      <c r="AO303" s="6">
        <v>0</v>
      </c>
      <c r="AP303" s="6">
        <f t="shared" ref="AP303:AP309" si="120">AF303</f>
        <v>3</v>
      </c>
      <c r="AQ303" s="6">
        <v>6.9000000000000006E-2</v>
      </c>
    </row>
    <row r="304" spans="1:45" ht="12">
      <c r="A304" s="37" t="s">
        <v>44</v>
      </c>
      <c r="B304" s="14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>
        <v>13</v>
      </c>
      <c r="Z304" s="6">
        <v>0.499</v>
      </c>
      <c r="AA304" s="6">
        <v>13</v>
      </c>
      <c r="AB304" s="6">
        <v>0.499</v>
      </c>
      <c r="AC304" s="6"/>
      <c r="AD304" s="6"/>
      <c r="AE304" s="6"/>
      <c r="AF304" s="6">
        <v>13</v>
      </c>
      <c r="AG304" s="6"/>
      <c r="AH304" s="6"/>
      <c r="AI304" s="6"/>
      <c r="AJ304" s="6"/>
      <c r="AK304" s="6"/>
      <c r="AL304" s="6"/>
      <c r="AM304" s="6"/>
      <c r="AN304" s="6">
        <v>0</v>
      </c>
      <c r="AO304" s="6">
        <v>0</v>
      </c>
      <c r="AP304" s="6">
        <f t="shared" si="120"/>
        <v>13</v>
      </c>
      <c r="AQ304" s="6">
        <v>0.499</v>
      </c>
      <c r="AS304" s="3"/>
    </row>
    <row r="305" spans="1:45" ht="12">
      <c r="A305" s="37" t="s">
        <v>38</v>
      </c>
      <c r="B305" s="14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>
        <v>38</v>
      </c>
      <c r="Z305" s="6">
        <v>1.669</v>
      </c>
      <c r="AA305" s="6">
        <v>38</v>
      </c>
      <c r="AB305" s="6">
        <v>1.669</v>
      </c>
      <c r="AC305" s="6"/>
      <c r="AD305" s="6"/>
      <c r="AE305" s="6"/>
      <c r="AF305" s="6">
        <v>38</v>
      </c>
      <c r="AG305" s="6"/>
      <c r="AH305" s="6"/>
      <c r="AI305" s="6"/>
      <c r="AJ305" s="6"/>
      <c r="AK305" s="6"/>
      <c r="AL305" s="6"/>
      <c r="AM305" s="6"/>
      <c r="AN305" s="6">
        <v>0</v>
      </c>
      <c r="AO305" s="6">
        <v>0</v>
      </c>
      <c r="AP305" s="6">
        <f t="shared" si="120"/>
        <v>38</v>
      </c>
      <c r="AQ305" s="6">
        <v>1.669</v>
      </c>
      <c r="AS305" s="3"/>
    </row>
    <row r="306" spans="1:45" ht="12">
      <c r="A306" s="37" t="s">
        <v>48</v>
      </c>
      <c r="B306" s="14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>
        <v>9</v>
      </c>
      <c r="Z306" s="6">
        <v>0.23</v>
      </c>
      <c r="AA306" s="6">
        <v>9</v>
      </c>
      <c r="AB306" s="6">
        <v>0.23</v>
      </c>
      <c r="AC306" s="6"/>
      <c r="AD306" s="6"/>
      <c r="AE306" s="6"/>
      <c r="AF306" s="6">
        <v>9</v>
      </c>
      <c r="AG306" s="6"/>
      <c r="AH306" s="6"/>
      <c r="AI306" s="6"/>
      <c r="AJ306" s="6"/>
      <c r="AK306" s="6"/>
      <c r="AL306" s="6"/>
      <c r="AM306" s="6"/>
      <c r="AN306" s="6">
        <v>0</v>
      </c>
      <c r="AO306" s="6">
        <v>0</v>
      </c>
      <c r="AP306" s="6">
        <f t="shared" si="120"/>
        <v>9</v>
      </c>
      <c r="AQ306" s="6">
        <v>0.23</v>
      </c>
      <c r="AS306" s="3"/>
    </row>
    <row r="307" spans="1:45" ht="12">
      <c r="A307" s="37" t="s">
        <v>53</v>
      </c>
      <c r="B307" s="14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>
        <v>9</v>
      </c>
      <c r="Z307" s="6">
        <v>0.27200000000000002</v>
      </c>
      <c r="AA307" s="6">
        <v>9</v>
      </c>
      <c r="AB307" s="6">
        <v>0.27200000000000002</v>
      </c>
      <c r="AC307" s="6"/>
      <c r="AD307" s="6"/>
      <c r="AE307" s="6"/>
      <c r="AF307" s="6">
        <v>9</v>
      </c>
      <c r="AG307" s="6"/>
      <c r="AH307" s="6"/>
      <c r="AI307" s="6"/>
      <c r="AJ307" s="6"/>
      <c r="AK307" s="6"/>
      <c r="AL307" s="6"/>
      <c r="AM307" s="6"/>
      <c r="AN307" s="6">
        <v>0</v>
      </c>
      <c r="AO307" s="6">
        <v>0</v>
      </c>
      <c r="AP307" s="6">
        <f t="shared" si="120"/>
        <v>9</v>
      </c>
      <c r="AQ307" s="6">
        <v>0.27200000000000002</v>
      </c>
      <c r="AS307" s="3"/>
    </row>
    <row r="308" spans="1:45" ht="12">
      <c r="A308" s="37" t="s">
        <v>26</v>
      </c>
      <c r="B308" s="14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>
        <v>3</v>
      </c>
      <c r="Z308" s="6">
        <v>7.6999999999999999E-2</v>
      </c>
      <c r="AA308" s="6">
        <v>3</v>
      </c>
      <c r="AB308" s="6">
        <v>7.6999999999999999E-2</v>
      </c>
      <c r="AC308" s="6"/>
      <c r="AD308" s="6"/>
      <c r="AE308" s="6"/>
      <c r="AF308" s="6">
        <v>3</v>
      </c>
      <c r="AG308" s="6"/>
      <c r="AH308" s="6"/>
      <c r="AI308" s="6"/>
      <c r="AJ308" s="6"/>
      <c r="AK308" s="6"/>
      <c r="AL308" s="6"/>
      <c r="AM308" s="6"/>
      <c r="AN308" s="6">
        <v>0</v>
      </c>
      <c r="AO308" s="6">
        <v>0</v>
      </c>
      <c r="AP308" s="6">
        <f t="shared" si="120"/>
        <v>3</v>
      </c>
      <c r="AQ308" s="6">
        <v>7.6999999999999999E-2</v>
      </c>
      <c r="AS308" s="3"/>
    </row>
    <row r="309" spans="1:45" ht="12">
      <c r="A309" s="37" t="s">
        <v>27</v>
      </c>
      <c r="B309" s="14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>
        <v>13</v>
      </c>
      <c r="Z309" s="6">
        <v>0.41399999999999998</v>
      </c>
      <c r="AA309" s="6">
        <v>13</v>
      </c>
      <c r="AB309" s="6">
        <v>0.41399999999999998</v>
      </c>
      <c r="AC309" s="6"/>
      <c r="AD309" s="6"/>
      <c r="AE309" s="6"/>
      <c r="AF309" s="6">
        <v>13</v>
      </c>
      <c r="AG309" s="6"/>
      <c r="AH309" s="6"/>
      <c r="AI309" s="6"/>
      <c r="AJ309" s="6"/>
      <c r="AK309" s="6"/>
      <c r="AL309" s="6"/>
      <c r="AM309" s="6"/>
      <c r="AN309" s="6">
        <v>0</v>
      </c>
      <c r="AO309" s="6">
        <v>0</v>
      </c>
      <c r="AP309" s="6">
        <f t="shared" si="120"/>
        <v>13</v>
      </c>
      <c r="AQ309" s="6">
        <v>0.41399999999999998</v>
      </c>
      <c r="AS309" s="3"/>
    </row>
    <row r="310" spans="1:45" ht="12">
      <c r="A310" s="39" t="s">
        <v>73</v>
      </c>
      <c r="B310" s="33" t="s">
        <v>17</v>
      </c>
      <c r="C310" s="30"/>
      <c r="D310" s="30"/>
      <c r="E310" s="30">
        <f>SUM(E311:E318)</f>
        <v>6.1599999999999997E-3</v>
      </c>
      <c r="F310" s="30">
        <f>SUM(F311:F318)</f>
        <v>2.863</v>
      </c>
      <c r="G310" s="30"/>
      <c r="H310" s="30"/>
      <c r="I310" s="30">
        <f t="shared" ref="I310:P310" si="121">SUM(I311:I318)</f>
        <v>1.7000000000000001E-3</v>
      </c>
      <c r="J310" s="30">
        <f t="shared" si="121"/>
        <v>0.83200000000000007</v>
      </c>
      <c r="K310" s="30">
        <f t="shared" si="121"/>
        <v>0</v>
      </c>
      <c r="L310" s="30">
        <f t="shared" si="121"/>
        <v>1.798</v>
      </c>
      <c r="M310" s="30">
        <f t="shared" si="121"/>
        <v>0.36300000000000004</v>
      </c>
      <c r="N310" s="30">
        <f t="shared" si="121"/>
        <v>1.8809999999999998</v>
      </c>
      <c r="O310" s="30">
        <f t="shared" si="121"/>
        <v>6.3E-2</v>
      </c>
      <c r="P310" s="30">
        <f t="shared" si="121"/>
        <v>4.1049999999999995</v>
      </c>
      <c r="Q310" s="30"/>
      <c r="R310" s="30"/>
      <c r="S310" s="30">
        <f>SUM(S311:S318)</f>
        <v>7.8599999999999989E-3</v>
      </c>
      <c r="T310" s="44">
        <f>SUM(T311:T318)</f>
        <v>4.1049999999999995</v>
      </c>
      <c r="U310" s="30"/>
      <c r="V310" s="30"/>
      <c r="W310" s="30">
        <f t="shared" ref="W310:AD310" si="122">SUM(W311:W318)</f>
        <v>0</v>
      </c>
      <c r="X310" s="30">
        <f t="shared" si="122"/>
        <v>0</v>
      </c>
      <c r="Y310" s="30">
        <f t="shared" si="122"/>
        <v>4.1099999999999999E-3</v>
      </c>
      <c r="Z310" s="30">
        <f t="shared" si="122"/>
        <v>0.30000000000000004</v>
      </c>
      <c r="AA310" s="30">
        <f t="shared" si="122"/>
        <v>4.1099999999999999E-3</v>
      </c>
      <c r="AB310" s="30">
        <f t="shared" si="122"/>
        <v>0.30000000000000004</v>
      </c>
      <c r="AC310" s="30">
        <f t="shared" si="122"/>
        <v>0</v>
      </c>
      <c r="AD310" s="44">
        <f t="shared" si="122"/>
        <v>0</v>
      </c>
      <c r="AE310" s="30"/>
      <c r="AF310" s="30">
        <f t="shared" ref="AF310:AL310" si="123">SUM(AF311:AF318)</f>
        <v>5.4000000000000003E-3</v>
      </c>
      <c r="AG310" s="30">
        <f t="shared" si="123"/>
        <v>0</v>
      </c>
      <c r="AH310" s="30">
        <f t="shared" si="123"/>
        <v>1.024</v>
      </c>
      <c r="AI310" s="30">
        <f t="shared" si="123"/>
        <v>0.20699999999999999</v>
      </c>
      <c r="AJ310" s="30">
        <f t="shared" si="123"/>
        <v>0.83299999999999996</v>
      </c>
      <c r="AK310" s="30">
        <f t="shared" si="123"/>
        <v>4.0999999999999995E-2</v>
      </c>
      <c r="AL310" s="30">
        <f t="shared" si="123"/>
        <v>2.105</v>
      </c>
      <c r="AM310" s="30"/>
      <c r="AN310" s="30">
        <v>0</v>
      </c>
      <c r="AO310" s="30">
        <v>0</v>
      </c>
      <c r="AP310" s="44">
        <f>SUM(AP311:AP318)</f>
        <v>1.2159999999999999E-2</v>
      </c>
      <c r="AQ310" s="44">
        <f>SUM(AQ311:AQ318)</f>
        <v>6.21</v>
      </c>
    </row>
    <row r="311" spans="1:45">
      <c r="A311" s="37" t="s">
        <v>21</v>
      </c>
      <c r="B311" s="14"/>
      <c r="C311" s="6"/>
      <c r="D311" s="6"/>
      <c r="E311" s="6"/>
      <c r="F311" s="6"/>
      <c r="G311" s="6"/>
      <c r="H311" s="6"/>
      <c r="I311" s="6">
        <v>1E-3</v>
      </c>
      <c r="J311" s="6">
        <v>0.48899999999999999</v>
      </c>
      <c r="K311" s="6"/>
      <c r="L311" s="6">
        <v>0.23799999999999999</v>
      </c>
      <c r="M311" s="4">
        <f t="shared" ref="M311:M318" si="124">ROUND((L311)*0.202,3)</f>
        <v>4.8000000000000001E-2</v>
      </c>
      <c r="N311" s="21">
        <f t="shared" ref="N311:N318" si="125">ROUND((L311)*1.0457,3)</f>
        <v>0.249</v>
      </c>
      <c r="O311" s="6">
        <v>8.9999999999999993E-3</v>
      </c>
      <c r="P311" s="10">
        <f t="shared" ref="P311:P318" si="126">SUM(K311:O311)</f>
        <v>0.54399999999999993</v>
      </c>
      <c r="Q311" s="6"/>
      <c r="R311" s="6"/>
      <c r="S311" s="6">
        <f t="shared" ref="S311:T316" si="127">I311+E311</f>
        <v>1E-3</v>
      </c>
      <c r="T311" s="10">
        <f>P311</f>
        <v>0.54399999999999993</v>
      </c>
      <c r="U311" s="6"/>
      <c r="V311" s="6"/>
      <c r="W311" s="6"/>
      <c r="X311" s="6"/>
      <c r="Y311" s="6"/>
      <c r="Z311" s="6"/>
      <c r="AA311" s="6"/>
      <c r="AB311" s="6"/>
      <c r="AC311" s="6"/>
      <c r="AD311" s="10"/>
      <c r="AE311" s="6" t="s">
        <v>74</v>
      </c>
      <c r="AF311" s="6"/>
      <c r="AG311" s="6"/>
      <c r="AH311" s="6"/>
      <c r="AI311" s="4">
        <f t="shared" ref="AI311:AI318" si="128">ROUND((AH311)*0.202,3)</f>
        <v>0</v>
      </c>
      <c r="AJ311" s="21">
        <f t="shared" ref="AJ311" si="129">ROUND((AH311)*0.8138,3)</f>
        <v>0</v>
      </c>
      <c r="AK311" s="6"/>
      <c r="AL311" s="10">
        <f t="shared" ref="AL311:AL318" si="130">SUM(AG311:AK311)</f>
        <v>0</v>
      </c>
      <c r="AM311" s="10"/>
      <c r="AN311" s="6">
        <v>0</v>
      </c>
      <c r="AO311" s="6">
        <v>0</v>
      </c>
      <c r="AP311" s="6">
        <f>S311</f>
        <v>1E-3</v>
      </c>
      <c r="AQ311" s="6">
        <f>T311</f>
        <v>0.54399999999999993</v>
      </c>
    </row>
    <row r="312" spans="1:45">
      <c r="A312" s="37" t="s">
        <v>44</v>
      </c>
      <c r="B312" s="14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4">
        <f t="shared" si="124"/>
        <v>0</v>
      </c>
      <c r="N312" s="21">
        <f t="shared" si="125"/>
        <v>0</v>
      </c>
      <c r="O312" s="6"/>
      <c r="P312" s="10">
        <f t="shared" si="126"/>
        <v>0</v>
      </c>
      <c r="Q312" s="6"/>
      <c r="R312" s="6"/>
      <c r="S312" s="6">
        <f t="shared" si="127"/>
        <v>0</v>
      </c>
      <c r="T312" s="6">
        <f t="shared" si="127"/>
        <v>0</v>
      </c>
      <c r="U312" s="6"/>
      <c r="V312" s="6"/>
      <c r="W312" s="6"/>
      <c r="X312" s="6"/>
      <c r="Y312" s="6">
        <v>5.0000000000000001E-4</v>
      </c>
      <c r="Z312" s="6">
        <v>0.05</v>
      </c>
      <c r="AA312" s="6">
        <v>5.0000000000000001E-4</v>
      </c>
      <c r="AB312" s="6">
        <v>0.05</v>
      </c>
      <c r="AC312" s="6"/>
      <c r="AD312" s="6"/>
      <c r="AE312" s="6"/>
      <c r="AF312" s="6">
        <v>5.0000000000000001E-4</v>
      </c>
      <c r="AG312" s="6"/>
      <c r="AH312" s="6">
        <v>0.11899999999999999</v>
      </c>
      <c r="AI312" s="4">
        <f t="shared" si="128"/>
        <v>2.4E-2</v>
      </c>
      <c r="AJ312" s="21">
        <f>ROUND((AH312)*0.8138,3)</f>
        <v>9.7000000000000003E-2</v>
      </c>
      <c r="AK312" s="6">
        <v>5.0000000000000001E-3</v>
      </c>
      <c r="AL312" s="10">
        <f t="shared" si="130"/>
        <v>0.245</v>
      </c>
      <c r="AM312" s="10"/>
      <c r="AN312" s="6">
        <v>0</v>
      </c>
      <c r="AO312" s="6">
        <v>0</v>
      </c>
      <c r="AP312" s="6">
        <f>AF312</f>
        <v>5.0000000000000001E-4</v>
      </c>
      <c r="AQ312" s="10">
        <f>AL312</f>
        <v>0.245</v>
      </c>
    </row>
    <row r="313" spans="1:45">
      <c r="A313" s="37" t="s">
        <v>38</v>
      </c>
      <c r="B313" s="14"/>
      <c r="C313" s="6"/>
      <c r="D313" s="6"/>
      <c r="E313" s="6">
        <v>1.4599999999999999E-3</v>
      </c>
      <c r="F313" s="6">
        <v>0.71399999999999997</v>
      </c>
      <c r="G313" s="6"/>
      <c r="H313" s="6"/>
      <c r="I313" s="6"/>
      <c r="J313" s="6"/>
      <c r="K313" s="6"/>
      <c r="L313" s="6">
        <v>0.34799999999999998</v>
      </c>
      <c r="M313" s="4">
        <f t="shared" si="124"/>
        <v>7.0000000000000007E-2</v>
      </c>
      <c r="N313" s="21">
        <f t="shared" si="125"/>
        <v>0.36399999999999999</v>
      </c>
      <c r="O313" s="6">
        <v>1.4E-2</v>
      </c>
      <c r="P313" s="10">
        <f t="shared" si="126"/>
        <v>0.79600000000000004</v>
      </c>
      <c r="Q313" s="6"/>
      <c r="R313" s="6"/>
      <c r="S313" s="6">
        <f t="shared" si="127"/>
        <v>1.4599999999999999E-3</v>
      </c>
      <c r="T313" s="10">
        <f t="shared" ref="T313:T318" si="131">P313</f>
        <v>0.79600000000000004</v>
      </c>
      <c r="U313" s="6"/>
      <c r="V313" s="6"/>
      <c r="W313" s="6"/>
      <c r="X313" s="10"/>
      <c r="Y313" s="6">
        <f>0.00061+0.0019</f>
        <v>2.5100000000000001E-3</v>
      </c>
      <c r="Z313" s="10">
        <f>0.05+0.1</f>
        <v>0.15000000000000002</v>
      </c>
      <c r="AA313" s="6">
        <f>0.00061+0.0019</f>
        <v>2.5100000000000001E-3</v>
      </c>
      <c r="AB313" s="10">
        <f>0.05+0.1</f>
        <v>0.15000000000000002</v>
      </c>
      <c r="AC313" s="6"/>
      <c r="AD313" s="10"/>
      <c r="AE313" s="6"/>
      <c r="AF313" s="6">
        <v>3.8E-3</v>
      </c>
      <c r="AG313" s="6"/>
      <c r="AH313" s="6">
        <v>0.90500000000000003</v>
      </c>
      <c r="AI313" s="4">
        <f t="shared" si="128"/>
        <v>0.183</v>
      </c>
      <c r="AJ313" s="21">
        <f t="shared" ref="AJ313:AJ318" si="132">ROUND((AH313)*0.8138,3)</f>
        <v>0.73599999999999999</v>
      </c>
      <c r="AK313" s="6">
        <v>3.5999999999999997E-2</v>
      </c>
      <c r="AL313" s="10">
        <f t="shared" si="130"/>
        <v>1.86</v>
      </c>
      <c r="AM313" s="10"/>
      <c r="AN313" s="6">
        <v>0</v>
      </c>
      <c r="AO313" s="6">
        <v>0</v>
      </c>
      <c r="AP313" s="6">
        <f>S313+AF313</f>
        <v>5.2599999999999999E-3</v>
      </c>
      <c r="AQ313" s="10">
        <f>T313+AL313</f>
        <v>2.6560000000000001</v>
      </c>
    </row>
    <row r="314" spans="1:45">
      <c r="A314" s="37" t="s">
        <v>24</v>
      </c>
      <c r="B314" s="14"/>
      <c r="C314" s="6"/>
      <c r="D314" s="6"/>
      <c r="E314" s="6">
        <v>1.4E-3</v>
      </c>
      <c r="F314" s="6">
        <v>0.68500000000000005</v>
      </c>
      <c r="G314" s="6"/>
      <c r="H314" s="6"/>
      <c r="I314" s="6">
        <v>6.9999999999999999E-4</v>
      </c>
      <c r="J314" s="6">
        <v>0.34300000000000003</v>
      </c>
      <c r="K314" s="6"/>
      <c r="L314" s="6">
        <f>0.333+0.166</f>
        <v>0.499</v>
      </c>
      <c r="M314" s="4">
        <f t="shared" si="124"/>
        <v>0.10100000000000001</v>
      </c>
      <c r="N314" s="21">
        <f t="shared" si="125"/>
        <v>0.52200000000000002</v>
      </c>
      <c r="O314" s="6">
        <f>0.013+0.007</f>
        <v>0.02</v>
      </c>
      <c r="P314" s="10">
        <f t="shared" si="126"/>
        <v>1.1419999999999999</v>
      </c>
      <c r="Q314" s="6"/>
      <c r="R314" s="6"/>
      <c r="S314" s="6">
        <f>I314+E314</f>
        <v>2.0999999999999999E-3</v>
      </c>
      <c r="T314" s="10">
        <f t="shared" si="131"/>
        <v>1.1419999999999999</v>
      </c>
      <c r="U314" s="6"/>
      <c r="V314" s="6"/>
      <c r="W314" s="6"/>
      <c r="X314" s="10"/>
      <c r="Y314" s="6">
        <v>1.1000000000000001E-3</v>
      </c>
      <c r="Z314" s="10">
        <v>0.1</v>
      </c>
      <c r="AA314" s="6">
        <v>1.1000000000000001E-3</v>
      </c>
      <c r="AB314" s="10">
        <v>0.1</v>
      </c>
      <c r="AC314" s="6"/>
      <c r="AD314" s="10"/>
      <c r="AE314" s="6" t="s">
        <v>74</v>
      </c>
      <c r="AF314" s="6">
        <v>1.1000000000000001E-3</v>
      </c>
      <c r="AG314" s="6"/>
      <c r="AH314" s="6"/>
      <c r="AI314" s="4">
        <f t="shared" si="128"/>
        <v>0</v>
      </c>
      <c r="AJ314" s="21">
        <f t="shared" si="132"/>
        <v>0</v>
      </c>
      <c r="AK314" s="6"/>
      <c r="AL314" s="10">
        <f t="shared" si="130"/>
        <v>0</v>
      </c>
      <c r="AM314" s="10"/>
      <c r="AN314" s="6">
        <v>0</v>
      </c>
      <c r="AO314" s="6">
        <v>0</v>
      </c>
      <c r="AP314" s="6">
        <f t="shared" ref="AP314:AQ318" si="133">S314</f>
        <v>2.0999999999999999E-3</v>
      </c>
      <c r="AQ314" s="6">
        <f t="shared" si="133"/>
        <v>1.1419999999999999</v>
      </c>
    </row>
    <row r="315" spans="1:45" ht="12" customHeight="1">
      <c r="A315" s="37" t="s">
        <v>48</v>
      </c>
      <c r="B315" s="14"/>
      <c r="C315" s="6"/>
      <c r="D315" s="6"/>
      <c r="E315" s="6">
        <v>6.9999999999999999E-4</v>
      </c>
      <c r="F315" s="6">
        <v>0.34300000000000003</v>
      </c>
      <c r="G315" s="6"/>
      <c r="H315" s="6"/>
      <c r="I315" s="6"/>
      <c r="J315" s="6"/>
      <c r="K315" s="6"/>
      <c r="L315" s="6">
        <v>0.16700000000000001</v>
      </c>
      <c r="M315" s="4">
        <f t="shared" si="124"/>
        <v>3.4000000000000002E-2</v>
      </c>
      <c r="N315" s="21">
        <f t="shared" si="125"/>
        <v>0.17499999999999999</v>
      </c>
      <c r="O315" s="6">
        <v>7.0000000000000001E-3</v>
      </c>
      <c r="P315" s="10">
        <f t="shared" si="126"/>
        <v>0.38300000000000001</v>
      </c>
      <c r="Q315" s="6"/>
      <c r="R315" s="6"/>
      <c r="S315" s="6">
        <f t="shared" si="127"/>
        <v>6.9999999999999999E-4</v>
      </c>
      <c r="T315" s="10">
        <f t="shared" si="131"/>
        <v>0.38300000000000001</v>
      </c>
      <c r="U315" s="6"/>
      <c r="V315" s="6"/>
      <c r="W315" s="6"/>
      <c r="X315" s="10"/>
      <c r="Y315" s="6"/>
      <c r="Z315" s="10"/>
      <c r="AA315" s="6"/>
      <c r="AB315" s="10"/>
      <c r="AC315" s="6"/>
      <c r="AD315" s="10"/>
      <c r="AE315" s="6"/>
      <c r="AF315" s="6"/>
      <c r="AG315" s="6"/>
      <c r="AH315" s="6"/>
      <c r="AI315" s="4">
        <f t="shared" si="128"/>
        <v>0</v>
      </c>
      <c r="AJ315" s="21">
        <f t="shared" si="132"/>
        <v>0</v>
      </c>
      <c r="AK315" s="6"/>
      <c r="AL315" s="10">
        <f t="shared" si="130"/>
        <v>0</v>
      </c>
      <c r="AM315" s="10"/>
      <c r="AN315" s="6">
        <v>0</v>
      </c>
      <c r="AO315" s="6">
        <v>0</v>
      </c>
      <c r="AP315" s="6">
        <f t="shared" si="133"/>
        <v>6.9999999999999999E-4</v>
      </c>
      <c r="AQ315" s="6">
        <f t="shared" si="133"/>
        <v>0.38300000000000001</v>
      </c>
    </row>
    <row r="316" spans="1:45">
      <c r="A316" s="37" t="s">
        <v>49</v>
      </c>
      <c r="B316" s="14"/>
      <c r="C316" s="6"/>
      <c r="D316" s="6"/>
      <c r="E316" s="6">
        <v>5.9999999999999995E-4</v>
      </c>
      <c r="F316" s="6">
        <v>0.14199999999999999</v>
      </c>
      <c r="G316" s="6"/>
      <c r="H316" s="6"/>
      <c r="I316" s="6"/>
      <c r="J316" s="6"/>
      <c r="K316" s="6"/>
      <c r="L316" s="6">
        <v>7.0000000000000007E-2</v>
      </c>
      <c r="M316" s="4">
        <f t="shared" si="124"/>
        <v>1.4E-2</v>
      </c>
      <c r="N316" s="21">
        <f t="shared" si="125"/>
        <v>7.2999999999999995E-2</v>
      </c>
      <c r="O316" s="6"/>
      <c r="P316" s="10">
        <f t="shared" si="126"/>
        <v>0.157</v>
      </c>
      <c r="Q316" s="6"/>
      <c r="R316" s="6"/>
      <c r="S316" s="6">
        <f t="shared" si="127"/>
        <v>5.9999999999999995E-4</v>
      </c>
      <c r="T316" s="10">
        <f t="shared" si="131"/>
        <v>0.157</v>
      </c>
      <c r="U316" s="6"/>
      <c r="V316" s="6"/>
      <c r="W316" s="6"/>
      <c r="X316" s="10"/>
      <c r="Y316" s="6"/>
      <c r="Z316" s="10"/>
      <c r="AA316" s="6"/>
      <c r="AB316" s="10"/>
      <c r="AC316" s="6"/>
      <c r="AD316" s="10"/>
      <c r="AE316" s="6"/>
      <c r="AF316" s="6"/>
      <c r="AG316" s="6"/>
      <c r="AH316" s="6"/>
      <c r="AI316" s="4">
        <f t="shared" si="128"/>
        <v>0</v>
      </c>
      <c r="AJ316" s="21">
        <f t="shared" si="132"/>
        <v>0</v>
      </c>
      <c r="AK316" s="6"/>
      <c r="AL316" s="10">
        <f t="shared" si="130"/>
        <v>0</v>
      </c>
      <c r="AM316" s="10"/>
      <c r="AN316" s="6">
        <v>0</v>
      </c>
      <c r="AO316" s="6">
        <v>0</v>
      </c>
      <c r="AP316" s="6">
        <f t="shared" si="133"/>
        <v>5.9999999999999995E-4</v>
      </c>
      <c r="AQ316" s="6">
        <f t="shared" si="133"/>
        <v>0.157</v>
      </c>
    </row>
    <row r="317" spans="1:45">
      <c r="A317" s="37" t="s">
        <v>26</v>
      </c>
      <c r="B317" s="14"/>
      <c r="C317" s="6"/>
      <c r="D317" s="6"/>
      <c r="E317" s="6">
        <v>5.9999999999999995E-4</v>
      </c>
      <c r="F317" s="6">
        <v>0.29399999999999998</v>
      </c>
      <c r="G317" s="6"/>
      <c r="H317" s="6"/>
      <c r="I317" s="6"/>
      <c r="J317" s="6"/>
      <c r="K317" s="6"/>
      <c r="L317" s="6">
        <v>0.14299999999999999</v>
      </c>
      <c r="M317" s="4">
        <f t="shared" si="124"/>
        <v>2.9000000000000001E-2</v>
      </c>
      <c r="N317" s="21">
        <f t="shared" si="125"/>
        <v>0.15</v>
      </c>
      <c r="O317" s="6"/>
      <c r="P317" s="10">
        <f t="shared" si="126"/>
        <v>0.32199999999999995</v>
      </c>
      <c r="Q317" s="6"/>
      <c r="R317" s="6"/>
      <c r="S317" s="6">
        <f t="shared" ref="S317:S318" si="134">I317+E317</f>
        <v>5.9999999999999995E-4</v>
      </c>
      <c r="T317" s="10">
        <f t="shared" si="131"/>
        <v>0.32199999999999995</v>
      </c>
      <c r="U317" s="6"/>
      <c r="V317" s="6"/>
      <c r="W317" s="6"/>
      <c r="X317" s="10"/>
      <c r="Y317" s="6"/>
      <c r="Z317" s="10"/>
      <c r="AA317" s="6"/>
      <c r="AB317" s="10"/>
      <c r="AC317" s="6"/>
      <c r="AD317" s="10"/>
      <c r="AE317" s="6"/>
      <c r="AF317" s="6"/>
      <c r="AG317" s="6"/>
      <c r="AH317" s="6"/>
      <c r="AI317" s="4">
        <f t="shared" si="128"/>
        <v>0</v>
      </c>
      <c r="AJ317" s="21">
        <f t="shared" si="132"/>
        <v>0</v>
      </c>
      <c r="AK317" s="6"/>
      <c r="AL317" s="10">
        <f t="shared" si="130"/>
        <v>0</v>
      </c>
      <c r="AM317" s="10"/>
      <c r="AN317" s="6">
        <v>0</v>
      </c>
      <c r="AO317" s="6">
        <v>0</v>
      </c>
      <c r="AP317" s="6">
        <f t="shared" si="133"/>
        <v>5.9999999999999995E-4</v>
      </c>
      <c r="AQ317" s="6">
        <f t="shared" si="133"/>
        <v>0.32199999999999995</v>
      </c>
    </row>
    <row r="318" spans="1:45">
      <c r="A318" s="37" t="s">
        <v>29</v>
      </c>
      <c r="B318" s="14"/>
      <c r="C318" s="6"/>
      <c r="D318" s="6"/>
      <c r="E318" s="6">
        <v>1.4E-3</v>
      </c>
      <c r="F318" s="6">
        <v>0.68500000000000005</v>
      </c>
      <c r="G318" s="6"/>
      <c r="H318" s="6"/>
      <c r="I318" s="6"/>
      <c r="J318" s="6"/>
      <c r="K318" s="6"/>
      <c r="L318" s="6">
        <v>0.33300000000000002</v>
      </c>
      <c r="M318" s="4">
        <f t="shared" si="124"/>
        <v>6.7000000000000004E-2</v>
      </c>
      <c r="N318" s="21">
        <f t="shared" si="125"/>
        <v>0.34799999999999998</v>
      </c>
      <c r="O318" s="6">
        <v>1.2999999999999999E-2</v>
      </c>
      <c r="P318" s="10">
        <f t="shared" si="126"/>
        <v>0.76100000000000001</v>
      </c>
      <c r="Q318" s="6"/>
      <c r="R318" s="6"/>
      <c r="S318" s="6">
        <f t="shared" si="134"/>
        <v>1.4E-3</v>
      </c>
      <c r="T318" s="10">
        <f t="shared" si="131"/>
        <v>0.76100000000000001</v>
      </c>
      <c r="U318" s="6"/>
      <c r="V318" s="6"/>
      <c r="W318" s="6"/>
      <c r="X318" s="10"/>
      <c r="Y318" s="6"/>
      <c r="Z318" s="10"/>
      <c r="AA318" s="6"/>
      <c r="AB318" s="10"/>
      <c r="AC318" s="6"/>
      <c r="AD318" s="10"/>
      <c r="AE318" s="6"/>
      <c r="AF318" s="6"/>
      <c r="AG318" s="6"/>
      <c r="AH318" s="6"/>
      <c r="AI318" s="4">
        <f t="shared" si="128"/>
        <v>0</v>
      </c>
      <c r="AJ318" s="21">
        <f t="shared" si="132"/>
        <v>0</v>
      </c>
      <c r="AK318" s="6"/>
      <c r="AL318" s="10">
        <f t="shared" si="130"/>
        <v>0</v>
      </c>
      <c r="AM318" s="10"/>
      <c r="AN318" s="6">
        <v>0</v>
      </c>
      <c r="AO318" s="6">
        <v>0</v>
      </c>
      <c r="AP318" s="6">
        <f t="shared" si="133"/>
        <v>1.4E-3</v>
      </c>
      <c r="AQ318" s="6">
        <f t="shared" si="133"/>
        <v>0.76100000000000001</v>
      </c>
    </row>
    <row r="319" spans="1:45" ht="12">
      <c r="A319" s="39" t="s">
        <v>147</v>
      </c>
      <c r="B319" s="33" t="s">
        <v>72</v>
      </c>
      <c r="C319" s="30"/>
      <c r="D319" s="30"/>
      <c r="E319" s="30">
        <f>SUM(E320:E329)</f>
        <v>5</v>
      </c>
      <c r="F319" s="30">
        <f>SUM(F320:F329)</f>
        <v>1.367</v>
      </c>
      <c r="G319" s="30"/>
      <c r="H319" s="30"/>
      <c r="I319" s="30">
        <f t="shared" ref="I319:T319" si="135">SUM(I320:I329)</f>
        <v>1</v>
      </c>
      <c r="J319" s="30">
        <f t="shared" si="135"/>
        <v>0.253</v>
      </c>
      <c r="K319" s="30">
        <f t="shared" si="135"/>
        <v>0.95399999999999996</v>
      </c>
      <c r="L319" s="30">
        <f t="shared" si="135"/>
        <v>0.31600000000000006</v>
      </c>
      <c r="M319" s="30">
        <f t="shared" si="135"/>
        <v>6.5000000000000002E-2</v>
      </c>
      <c r="N319" s="30">
        <f t="shared" si="135"/>
        <v>0.33100000000000002</v>
      </c>
      <c r="O319" s="30">
        <f t="shared" si="135"/>
        <v>3.2000000000000001E-2</v>
      </c>
      <c r="P319" s="30">
        <f t="shared" si="135"/>
        <v>1.698</v>
      </c>
      <c r="Q319" s="30">
        <f t="shared" si="135"/>
        <v>0</v>
      </c>
      <c r="R319" s="30">
        <f t="shared" si="135"/>
        <v>0</v>
      </c>
      <c r="S319" s="30">
        <f t="shared" si="135"/>
        <v>6</v>
      </c>
      <c r="T319" s="30">
        <f t="shared" si="135"/>
        <v>1.698</v>
      </c>
      <c r="U319" s="30"/>
      <c r="V319" s="30"/>
      <c r="W319" s="30">
        <f t="shared" ref="W319:AD319" si="136">SUM(W320:W329)</f>
        <v>0</v>
      </c>
      <c r="X319" s="30">
        <f t="shared" si="136"/>
        <v>0</v>
      </c>
      <c r="Y319" s="30">
        <f t="shared" si="136"/>
        <v>9</v>
      </c>
      <c r="Z319" s="30">
        <f t="shared" si="136"/>
        <v>0.78600000000000003</v>
      </c>
      <c r="AA319" s="30">
        <f t="shared" si="136"/>
        <v>3</v>
      </c>
      <c r="AB319" s="30">
        <f t="shared" si="136"/>
        <v>0.38600000000000001</v>
      </c>
      <c r="AC319" s="30">
        <f t="shared" si="136"/>
        <v>4</v>
      </c>
      <c r="AD319" s="30">
        <f t="shared" si="136"/>
        <v>8.4000000000000005E-2</v>
      </c>
      <c r="AE319" s="30"/>
      <c r="AF319" s="30">
        <f t="shared" ref="AF319:AL319" si="137">SUM(AF320:AF329)</f>
        <v>13</v>
      </c>
      <c r="AG319" s="30">
        <f t="shared" si="137"/>
        <v>2.226</v>
      </c>
      <c r="AH319" s="30">
        <f t="shared" si="137"/>
        <v>0.97300000000000009</v>
      </c>
      <c r="AI319" s="30">
        <f t="shared" si="137"/>
        <v>0.19500000000000001</v>
      </c>
      <c r="AJ319" s="30">
        <f t="shared" si="137"/>
        <v>0.79100000000000004</v>
      </c>
      <c r="AK319" s="30">
        <f t="shared" si="137"/>
        <v>5.1999999999999998E-2</v>
      </c>
      <c r="AL319" s="30">
        <f t="shared" si="137"/>
        <v>4.2370000000000001</v>
      </c>
      <c r="AM319" s="30"/>
      <c r="AN319" s="30">
        <f>SUM(AN320:AN329)</f>
        <v>0</v>
      </c>
      <c r="AO319" s="30">
        <f>SUM(AO320:AO329)</f>
        <v>0</v>
      </c>
      <c r="AP319" s="30">
        <f>SUM(AP320:AP329)</f>
        <v>19</v>
      </c>
      <c r="AQ319" s="30">
        <f>SUM(AQ320:AQ329)</f>
        <v>5.9349999999999987</v>
      </c>
    </row>
    <row r="320" spans="1:45">
      <c r="A320" s="37" t="s">
        <v>43</v>
      </c>
      <c r="B320" s="14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>
        <v>1</v>
      </c>
      <c r="Z320" s="6">
        <f>0.05+0.018</f>
        <v>6.8000000000000005E-2</v>
      </c>
      <c r="AA320" s="6">
        <v>1</v>
      </c>
      <c r="AB320" s="6">
        <f>0.05+0.018</f>
        <v>6.8000000000000005E-2</v>
      </c>
      <c r="AC320" s="6"/>
      <c r="AD320" s="6"/>
      <c r="AE320" s="6"/>
      <c r="AF320" s="6">
        <v>1</v>
      </c>
      <c r="AG320" s="6">
        <v>5.3999999999999999E-2</v>
      </c>
      <c r="AH320" s="6">
        <v>3.4000000000000002E-2</v>
      </c>
      <c r="AI320" s="4">
        <f t="shared" ref="AI320:AI328" si="138">ROUND((AH320)*0.202,3)</f>
        <v>7.0000000000000001E-3</v>
      </c>
      <c r="AJ320" s="21">
        <f t="shared" ref="AJ320:AJ329" si="139">ROUND((AH320)*0.8138,3)</f>
        <v>2.8000000000000001E-2</v>
      </c>
      <c r="AK320" s="6">
        <v>1E-3</v>
      </c>
      <c r="AL320" s="10">
        <f t="shared" ref="AL320:AL328" si="140">SUM(AG320:AK320)</f>
        <v>0.124</v>
      </c>
      <c r="AM320" s="6"/>
      <c r="AN320" s="6">
        <v>0</v>
      </c>
      <c r="AO320" s="6">
        <v>0</v>
      </c>
      <c r="AP320" s="6">
        <f>AF320</f>
        <v>1</v>
      </c>
      <c r="AQ320" s="10">
        <f>AL320</f>
        <v>0.124</v>
      </c>
    </row>
    <row r="321" spans="1:43">
      <c r="A321" s="37" t="s">
        <v>38</v>
      </c>
      <c r="B321" s="14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>
        <v>2</v>
      </c>
      <c r="Z321" s="6">
        <f>0.1+0.218</f>
        <v>0.318</v>
      </c>
      <c r="AA321" s="6">
        <v>2</v>
      </c>
      <c r="AB321" s="6">
        <f>0.1+0.218</f>
        <v>0.318</v>
      </c>
      <c r="AC321" s="6"/>
      <c r="AD321" s="6"/>
      <c r="AE321" s="6"/>
      <c r="AF321" s="6">
        <v>2</v>
      </c>
      <c r="AG321" s="6">
        <f>0.245+0.019</f>
        <v>0.26400000000000001</v>
      </c>
      <c r="AH321" s="6">
        <f>0.118+0.027</f>
        <v>0.14499999999999999</v>
      </c>
      <c r="AI321" s="4">
        <f t="shared" si="138"/>
        <v>2.9000000000000001E-2</v>
      </c>
      <c r="AJ321" s="21">
        <f t="shared" si="139"/>
        <v>0.11799999999999999</v>
      </c>
      <c r="AK321" s="6">
        <v>7.0000000000000001E-3</v>
      </c>
      <c r="AL321" s="10">
        <f t="shared" si="140"/>
        <v>0.56300000000000006</v>
      </c>
      <c r="AM321" s="6"/>
      <c r="AN321" s="6">
        <v>0</v>
      </c>
      <c r="AO321" s="6">
        <v>0</v>
      </c>
      <c r="AP321" s="6">
        <f>AF321</f>
        <v>2</v>
      </c>
      <c r="AQ321" s="10">
        <f>AL321</f>
        <v>0.56300000000000006</v>
      </c>
    </row>
    <row r="322" spans="1:43">
      <c r="A322" s="37" t="s">
        <v>46</v>
      </c>
      <c r="B322" s="14"/>
      <c r="C322" s="6"/>
      <c r="D322" s="6"/>
      <c r="E322" s="6">
        <v>1</v>
      </c>
      <c r="F322" s="6">
        <v>0.19800000000000001</v>
      </c>
      <c r="G322" s="6"/>
      <c r="H322" s="6"/>
      <c r="I322" s="6"/>
      <c r="J322" s="6"/>
      <c r="K322" s="6">
        <v>0.14199999999999999</v>
      </c>
      <c r="L322" s="6">
        <v>2.5000000000000001E-2</v>
      </c>
      <c r="M322" s="4">
        <f t="shared" ref="M322:M327" si="141">ROUND((L322)*0.202,3)</f>
        <v>5.0000000000000001E-3</v>
      </c>
      <c r="N322" s="21">
        <f t="shared" ref="N322:N327" si="142">ROUND((L322)*1.0457,3)</f>
        <v>2.5999999999999999E-2</v>
      </c>
      <c r="O322" s="6">
        <v>5.0000000000000001E-3</v>
      </c>
      <c r="P322" s="10">
        <f t="shared" ref="P322:P327" si="143">SUM(K322:O322)</f>
        <v>0.20299999999999999</v>
      </c>
      <c r="Q322" s="6"/>
      <c r="R322" s="6"/>
      <c r="S322" s="6">
        <f t="shared" ref="S322:S327" si="144">I322+E322</f>
        <v>1</v>
      </c>
      <c r="T322" s="10">
        <f t="shared" ref="T322:T327" si="145">P322</f>
        <v>0.20299999999999999</v>
      </c>
      <c r="U322" s="6"/>
      <c r="V322" s="6"/>
      <c r="W322" s="6"/>
      <c r="X322" s="10"/>
      <c r="Y322" s="6"/>
      <c r="Z322" s="10"/>
      <c r="AA322" s="6"/>
      <c r="AB322" s="10"/>
      <c r="AC322" s="6"/>
      <c r="AD322" s="10"/>
      <c r="AE322" s="6"/>
      <c r="AF322" s="6"/>
      <c r="AG322" s="6"/>
      <c r="AH322" s="6"/>
      <c r="AI322" s="4">
        <f t="shared" si="138"/>
        <v>0</v>
      </c>
      <c r="AJ322" s="21">
        <f t="shared" si="139"/>
        <v>0</v>
      </c>
      <c r="AK322" s="6"/>
      <c r="AL322" s="10">
        <f t="shared" si="140"/>
        <v>0</v>
      </c>
      <c r="AM322" s="10"/>
      <c r="AN322" s="6">
        <v>0</v>
      </c>
      <c r="AO322" s="6">
        <v>0</v>
      </c>
      <c r="AP322" s="6">
        <f t="shared" ref="AP322:AQ329" si="146">S322</f>
        <v>1</v>
      </c>
      <c r="AQ322" s="6">
        <f t="shared" si="146"/>
        <v>0.20299999999999999</v>
      </c>
    </row>
    <row r="323" spans="1:43">
      <c r="A323" s="37" t="s">
        <v>47</v>
      </c>
      <c r="B323" s="14"/>
      <c r="C323" s="6"/>
      <c r="D323" s="6"/>
      <c r="E323" s="6"/>
      <c r="F323" s="6"/>
      <c r="G323" s="6"/>
      <c r="H323" s="6"/>
      <c r="I323" s="6">
        <v>1</v>
      </c>
      <c r="J323" s="6">
        <v>0.253</v>
      </c>
      <c r="K323" s="6">
        <v>0.18099999999999999</v>
      </c>
      <c r="L323" s="6">
        <v>3.3000000000000002E-2</v>
      </c>
      <c r="M323" s="4">
        <f t="shared" si="141"/>
        <v>7.0000000000000001E-3</v>
      </c>
      <c r="N323" s="21">
        <f t="shared" si="142"/>
        <v>3.5000000000000003E-2</v>
      </c>
      <c r="O323" s="6">
        <v>7.0000000000000001E-3</v>
      </c>
      <c r="P323" s="10">
        <f t="shared" si="143"/>
        <v>0.26300000000000001</v>
      </c>
      <c r="Q323" s="6"/>
      <c r="R323" s="6"/>
      <c r="S323" s="6">
        <f t="shared" si="144"/>
        <v>1</v>
      </c>
      <c r="T323" s="10">
        <f t="shared" si="145"/>
        <v>0.26300000000000001</v>
      </c>
      <c r="U323" s="6"/>
      <c r="V323" s="6"/>
      <c r="W323" s="6"/>
      <c r="X323" s="10"/>
      <c r="Y323" s="6"/>
      <c r="Z323" s="10"/>
      <c r="AA323" s="6"/>
      <c r="AB323" s="10"/>
      <c r="AC323" s="6"/>
      <c r="AD323" s="10"/>
      <c r="AE323" s="6"/>
      <c r="AF323" s="6"/>
      <c r="AG323" s="6"/>
      <c r="AH323" s="6"/>
      <c r="AI323" s="4">
        <f t="shared" si="138"/>
        <v>0</v>
      </c>
      <c r="AJ323" s="21">
        <f t="shared" si="139"/>
        <v>0</v>
      </c>
      <c r="AK323" s="6"/>
      <c r="AL323" s="10">
        <f t="shared" si="140"/>
        <v>0</v>
      </c>
      <c r="AM323" s="10"/>
      <c r="AN323" s="6">
        <v>0</v>
      </c>
      <c r="AO323" s="6">
        <v>0</v>
      </c>
      <c r="AP323" s="6">
        <f t="shared" si="146"/>
        <v>1</v>
      </c>
      <c r="AQ323" s="6">
        <f t="shared" si="146"/>
        <v>0.26300000000000001</v>
      </c>
    </row>
    <row r="324" spans="1:43">
      <c r="A324" s="37" t="s">
        <v>48</v>
      </c>
      <c r="B324" s="14"/>
      <c r="C324" s="6"/>
      <c r="D324" s="6"/>
      <c r="E324" s="6">
        <v>2</v>
      </c>
      <c r="F324" s="6">
        <v>0.72899999999999998</v>
      </c>
      <c r="G324" s="6"/>
      <c r="H324" s="6"/>
      <c r="I324" s="6"/>
      <c r="J324" s="6"/>
      <c r="K324" s="6">
        <v>0.316</v>
      </c>
      <c r="L324" s="6">
        <v>0.20100000000000001</v>
      </c>
      <c r="M324" s="4">
        <f t="shared" si="141"/>
        <v>4.1000000000000002E-2</v>
      </c>
      <c r="N324" s="21">
        <f t="shared" si="142"/>
        <v>0.21</v>
      </c>
      <c r="O324" s="6">
        <v>8.0000000000000002E-3</v>
      </c>
      <c r="P324" s="10">
        <f t="shared" si="143"/>
        <v>0.77600000000000002</v>
      </c>
      <c r="Q324" s="6"/>
      <c r="R324" s="6"/>
      <c r="S324" s="6">
        <f t="shared" si="144"/>
        <v>2</v>
      </c>
      <c r="T324" s="10">
        <f t="shared" si="145"/>
        <v>0.77600000000000002</v>
      </c>
      <c r="U324" s="6"/>
      <c r="V324" s="6"/>
      <c r="W324" s="6"/>
      <c r="X324" s="10"/>
      <c r="Y324" s="6"/>
      <c r="Z324" s="10"/>
      <c r="AA324" s="6"/>
      <c r="AB324" s="10"/>
      <c r="AC324" s="6">
        <v>1</v>
      </c>
      <c r="AD324" s="10">
        <v>1.4E-2</v>
      </c>
      <c r="AE324" s="6"/>
      <c r="AF324" s="6">
        <v>1</v>
      </c>
      <c r="AG324" s="6">
        <v>0.47499999999999998</v>
      </c>
      <c r="AH324" s="6">
        <v>8.5999999999999993E-2</v>
      </c>
      <c r="AI324" s="4">
        <f t="shared" si="138"/>
        <v>1.7000000000000001E-2</v>
      </c>
      <c r="AJ324" s="21">
        <f t="shared" si="139"/>
        <v>7.0000000000000007E-2</v>
      </c>
      <c r="AK324" s="6">
        <v>1.7999999999999999E-2</v>
      </c>
      <c r="AL324" s="10">
        <f t="shared" si="140"/>
        <v>0.66599999999999993</v>
      </c>
      <c r="AM324" s="10"/>
      <c r="AN324" s="6">
        <v>0</v>
      </c>
      <c r="AO324" s="6">
        <v>0</v>
      </c>
      <c r="AP324" s="6">
        <f>S324+AF324</f>
        <v>3</v>
      </c>
      <c r="AQ324" s="10">
        <f>T324+AL324</f>
        <v>1.4419999999999999</v>
      </c>
    </row>
    <row r="325" spans="1:43">
      <c r="A325" s="37" t="s">
        <v>41</v>
      </c>
      <c r="B325" s="14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4">
        <f t="shared" si="141"/>
        <v>0</v>
      </c>
      <c r="N325" s="21">
        <f t="shared" si="142"/>
        <v>0</v>
      </c>
      <c r="O325" s="6"/>
      <c r="P325" s="10">
        <f t="shared" si="143"/>
        <v>0</v>
      </c>
      <c r="Q325" s="6"/>
      <c r="R325" s="6"/>
      <c r="S325" s="6">
        <f t="shared" si="144"/>
        <v>0</v>
      </c>
      <c r="T325" s="10">
        <f t="shared" si="145"/>
        <v>0</v>
      </c>
      <c r="U325" s="6"/>
      <c r="V325" s="6"/>
      <c r="W325" s="6"/>
      <c r="X325" s="10"/>
      <c r="Y325" s="6"/>
      <c r="Z325" s="10"/>
      <c r="AA325" s="6"/>
      <c r="AB325" s="10"/>
      <c r="AC325" s="6">
        <v>1</v>
      </c>
      <c r="AD325" s="10">
        <v>4.2000000000000003E-2</v>
      </c>
      <c r="AE325" s="6"/>
      <c r="AF325" s="6">
        <v>1</v>
      </c>
      <c r="AG325" s="6">
        <v>5.8000000000000003E-2</v>
      </c>
      <c r="AH325" s="6">
        <v>8.1000000000000003E-2</v>
      </c>
      <c r="AI325" s="4">
        <f t="shared" si="138"/>
        <v>1.6E-2</v>
      </c>
      <c r="AJ325" s="21">
        <f>ROUND((AH325)*0.8138,3)-0.001</f>
        <v>6.5000000000000002E-2</v>
      </c>
      <c r="AK325" s="6"/>
      <c r="AL325" s="10">
        <f t="shared" si="140"/>
        <v>0.22000000000000003</v>
      </c>
      <c r="AM325" s="10"/>
      <c r="AN325" s="6">
        <v>0</v>
      </c>
      <c r="AO325" s="6">
        <v>0</v>
      </c>
      <c r="AP325" s="6">
        <f>AF325</f>
        <v>1</v>
      </c>
      <c r="AQ325" s="10">
        <f>AL325</f>
        <v>0.22000000000000003</v>
      </c>
    </row>
    <row r="326" spans="1:43">
      <c r="A326" s="37" t="s">
        <v>49</v>
      </c>
      <c r="B326" s="14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4">
        <f t="shared" si="141"/>
        <v>0</v>
      </c>
      <c r="N326" s="21">
        <f t="shared" si="142"/>
        <v>0</v>
      </c>
      <c r="O326" s="6"/>
      <c r="P326" s="10">
        <f t="shared" si="143"/>
        <v>0</v>
      </c>
      <c r="Q326" s="6"/>
      <c r="R326" s="6"/>
      <c r="S326" s="6">
        <f t="shared" si="144"/>
        <v>0</v>
      </c>
      <c r="T326" s="10">
        <f t="shared" si="145"/>
        <v>0</v>
      </c>
      <c r="U326" s="6"/>
      <c r="V326" s="6"/>
      <c r="W326" s="6"/>
      <c r="X326" s="10"/>
      <c r="Y326" s="6"/>
      <c r="Z326" s="10"/>
      <c r="AA326" s="6"/>
      <c r="AB326" s="10"/>
      <c r="AC326" s="6">
        <v>1</v>
      </c>
      <c r="AD326" s="10">
        <v>1.4E-2</v>
      </c>
      <c r="AE326" s="6"/>
      <c r="AF326" s="6">
        <v>1</v>
      </c>
      <c r="AG326" s="6">
        <v>1.9E-2</v>
      </c>
      <c r="AH326" s="6">
        <v>2.7E-2</v>
      </c>
      <c r="AI326" s="4">
        <f t="shared" si="138"/>
        <v>5.0000000000000001E-3</v>
      </c>
      <c r="AJ326" s="21">
        <f t="shared" si="139"/>
        <v>2.1999999999999999E-2</v>
      </c>
      <c r="AK326" s="6"/>
      <c r="AL326" s="10">
        <f t="shared" si="140"/>
        <v>7.2999999999999995E-2</v>
      </c>
      <c r="AM326" s="10"/>
      <c r="AN326" s="6">
        <v>0</v>
      </c>
      <c r="AO326" s="6">
        <v>0</v>
      </c>
      <c r="AP326" s="6">
        <f>AF326</f>
        <v>1</v>
      </c>
      <c r="AQ326" s="10">
        <f>AL326</f>
        <v>7.2999999999999995E-2</v>
      </c>
    </row>
    <row r="327" spans="1:43">
      <c r="A327" s="37" t="s">
        <v>25</v>
      </c>
      <c r="B327" s="14"/>
      <c r="C327" s="6"/>
      <c r="D327" s="6"/>
      <c r="E327" s="6">
        <v>1</v>
      </c>
      <c r="F327" s="6">
        <v>0.17599999999999999</v>
      </c>
      <c r="G327" s="6"/>
      <c r="H327" s="6"/>
      <c r="I327" s="6"/>
      <c r="J327" s="6"/>
      <c r="K327" s="6">
        <v>0.126</v>
      </c>
      <c r="L327" s="6">
        <v>2.3E-2</v>
      </c>
      <c r="M327" s="4">
        <f t="shared" si="141"/>
        <v>5.0000000000000001E-3</v>
      </c>
      <c r="N327" s="21">
        <f t="shared" si="142"/>
        <v>2.4E-2</v>
      </c>
      <c r="O327" s="6">
        <v>5.0000000000000001E-3</v>
      </c>
      <c r="P327" s="10">
        <f t="shared" si="143"/>
        <v>0.183</v>
      </c>
      <c r="Q327" s="6"/>
      <c r="R327" s="6"/>
      <c r="S327" s="6">
        <f t="shared" si="144"/>
        <v>1</v>
      </c>
      <c r="T327" s="10">
        <f t="shared" si="145"/>
        <v>0.183</v>
      </c>
      <c r="U327" s="6"/>
      <c r="V327" s="6"/>
      <c r="W327" s="6"/>
      <c r="X327" s="10"/>
      <c r="Y327" s="6"/>
      <c r="Z327" s="10"/>
      <c r="AA327" s="6"/>
      <c r="AB327" s="10"/>
      <c r="AC327" s="6"/>
      <c r="AD327" s="10"/>
      <c r="AE327" s="6"/>
      <c r="AF327" s="6"/>
      <c r="AG327" s="6"/>
      <c r="AH327" s="6"/>
      <c r="AI327" s="4">
        <f t="shared" si="138"/>
        <v>0</v>
      </c>
      <c r="AJ327" s="21">
        <f t="shared" si="139"/>
        <v>0</v>
      </c>
      <c r="AK327" s="6"/>
      <c r="AL327" s="10">
        <f t="shared" si="140"/>
        <v>0</v>
      </c>
      <c r="AM327" s="10"/>
      <c r="AN327" s="6">
        <v>0</v>
      </c>
      <c r="AO327" s="6">
        <v>0</v>
      </c>
      <c r="AP327" s="6">
        <f t="shared" si="146"/>
        <v>1</v>
      </c>
      <c r="AQ327" s="6">
        <f t="shared" si="146"/>
        <v>0.183</v>
      </c>
    </row>
    <row r="328" spans="1:43">
      <c r="A328" s="37" t="s">
        <v>27</v>
      </c>
      <c r="B328" s="14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4"/>
      <c r="N328" s="21"/>
      <c r="O328" s="6"/>
      <c r="P328" s="10"/>
      <c r="Q328" s="6"/>
      <c r="R328" s="6"/>
      <c r="S328" s="6"/>
      <c r="T328" s="10"/>
      <c r="U328" s="6"/>
      <c r="V328" s="6"/>
      <c r="W328" s="6"/>
      <c r="X328" s="10"/>
      <c r="Y328" s="6">
        <v>6</v>
      </c>
      <c r="Z328" s="10">
        <v>0.4</v>
      </c>
      <c r="AA328" s="6"/>
      <c r="AB328" s="10"/>
      <c r="AC328" s="6">
        <v>1</v>
      </c>
      <c r="AD328" s="10">
        <v>1.4E-2</v>
      </c>
      <c r="AE328" s="6"/>
      <c r="AF328" s="6">
        <f>6+1</f>
        <v>7</v>
      </c>
      <c r="AG328" s="6">
        <f>0.566+0.79</f>
        <v>1.3559999999999999</v>
      </c>
      <c r="AH328" s="6">
        <f>0.107+0.493</f>
        <v>0.6</v>
      </c>
      <c r="AI328" s="4">
        <f t="shared" si="138"/>
        <v>0.121</v>
      </c>
      <c r="AJ328" s="21">
        <f t="shared" si="139"/>
        <v>0.48799999999999999</v>
      </c>
      <c r="AK328" s="6">
        <f>0.022+0.004</f>
        <v>2.5999999999999999E-2</v>
      </c>
      <c r="AL328" s="10">
        <f t="shared" si="140"/>
        <v>2.5909999999999997</v>
      </c>
      <c r="AM328" s="10"/>
      <c r="AN328" s="6">
        <v>0</v>
      </c>
      <c r="AO328" s="6">
        <v>0</v>
      </c>
      <c r="AP328" s="6">
        <f>AF328</f>
        <v>7</v>
      </c>
      <c r="AQ328" s="10">
        <f>AL328</f>
        <v>2.5909999999999997</v>
      </c>
    </row>
    <row r="329" spans="1:43">
      <c r="A329" s="37" t="s">
        <v>29</v>
      </c>
      <c r="B329" s="14"/>
      <c r="C329" s="6"/>
      <c r="D329" s="6"/>
      <c r="E329" s="6">
        <v>1</v>
      </c>
      <c r="F329" s="6">
        <v>0.26400000000000001</v>
      </c>
      <c r="G329" s="6"/>
      <c r="H329" s="6"/>
      <c r="I329" s="6"/>
      <c r="J329" s="6"/>
      <c r="K329" s="6">
        <v>0.189</v>
      </c>
      <c r="L329" s="6">
        <v>3.4000000000000002E-2</v>
      </c>
      <c r="M329" s="4">
        <f>ROUND((L329)*0.202,3)</f>
        <v>7.0000000000000001E-3</v>
      </c>
      <c r="N329" s="21">
        <f>ROUND((L329)*1.0457,3)</f>
        <v>3.5999999999999997E-2</v>
      </c>
      <c r="O329" s="6">
        <v>7.0000000000000001E-3</v>
      </c>
      <c r="P329" s="10">
        <f>SUM(K329:O329)</f>
        <v>0.27300000000000002</v>
      </c>
      <c r="Q329" s="6"/>
      <c r="R329" s="6"/>
      <c r="S329" s="6">
        <f>I329+E329</f>
        <v>1</v>
      </c>
      <c r="T329" s="10">
        <f>P329</f>
        <v>0.27300000000000002</v>
      </c>
      <c r="U329" s="6"/>
      <c r="V329" s="6"/>
      <c r="W329" s="6"/>
      <c r="X329" s="10"/>
      <c r="Y329" s="6"/>
      <c r="Z329" s="10"/>
      <c r="AA329" s="6"/>
      <c r="AB329" s="10"/>
      <c r="AC329" s="6"/>
      <c r="AD329" s="10"/>
      <c r="AE329" s="6"/>
      <c r="AF329" s="6"/>
      <c r="AG329" s="6"/>
      <c r="AH329" s="6"/>
      <c r="AI329" s="4">
        <f>ROUND((AH329)*0.202,3)</f>
        <v>0</v>
      </c>
      <c r="AJ329" s="21">
        <f t="shared" si="139"/>
        <v>0</v>
      </c>
      <c r="AK329" s="6"/>
      <c r="AL329" s="10">
        <f>SUM(AG329:AK329)</f>
        <v>0</v>
      </c>
      <c r="AM329" s="10"/>
      <c r="AN329" s="6">
        <v>0</v>
      </c>
      <c r="AO329" s="6">
        <v>0</v>
      </c>
      <c r="AP329" s="6">
        <f t="shared" si="146"/>
        <v>1</v>
      </c>
      <c r="AQ329" s="6">
        <f t="shared" si="146"/>
        <v>0.27300000000000002</v>
      </c>
    </row>
    <row r="330" spans="1:43" ht="12">
      <c r="A330" s="39" t="s">
        <v>75</v>
      </c>
      <c r="B330" s="33"/>
      <c r="C330" s="30"/>
      <c r="D330" s="30"/>
      <c r="E330" s="30"/>
      <c r="F330" s="30"/>
      <c r="G330" s="30"/>
      <c r="H330" s="30"/>
      <c r="I330" s="30"/>
      <c r="J330" s="30"/>
      <c r="K330" s="30">
        <f t="shared" ref="K330:T330" si="147">K331</f>
        <v>10.787000000000001</v>
      </c>
      <c r="L330" s="30">
        <f t="shared" si="147"/>
        <v>0.78800000000000003</v>
      </c>
      <c r="M330" s="30">
        <f t="shared" si="147"/>
        <v>0.159</v>
      </c>
      <c r="N330" s="30">
        <f t="shared" si="147"/>
        <v>0.82399999999999995</v>
      </c>
      <c r="O330" s="30">
        <f t="shared" si="147"/>
        <v>3.5999999999999997E-2</v>
      </c>
      <c r="P330" s="30">
        <f t="shared" si="147"/>
        <v>12.594000000000001</v>
      </c>
      <c r="Q330" s="30">
        <f t="shared" si="147"/>
        <v>0</v>
      </c>
      <c r="R330" s="30">
        <f t="shared" si="147"/>
        <v>0</v>
      </c>
      <c r="S330" s="30">
        <f t="shared" si="147"/>
        <v>5</v>
      </c>
      <c r="T330" s="30">
        <f t="shared" si="147"/>
        <v>12.594000000000001</v>
      </c>
      <c r="U330" s="30"/>
      <c r="V330" s="30"/>
      <c r="W330" s="30">
        <f>W331</f>
        <v>0</v>
      </c>
      <c r="X330" s="30">
        <f>X331</f>
        <v>0</v>
      </c>
      <c r="Y330" s="30">
        <f>SUM(Y332:Y336)</f>
        <v>5</v>
      </c>
      <c r="Z330" s="30">
        <f>SUM(Z332:Z336)</f>
        <v>15</v>
      </c>
      <c r="AA330" s="30">
        <f>SUM(AA332:AA336)</f>
        <v>0</v>
      </c>
      <c r="AB330" s="30">
        <f>SUM(AB332:AB336)</f>
        <v>0</v>
      </c>
      <c r="AC330" s="30">
        <f>SUM(AC331:AC336)</f>
        <v>5</v>
      </c>
      <c r="AD330" s="30">
        <f>SUM(AD331:AD336)</f>
        <v>17.574999999999999</v>
      </c>
      <c r="AE330" s="30"/>
      <c r="AF330" s="30">
        <f>SUM(AF332:AF336)</f>
        <v>10</v>
      </c>
      <c r="AG330" s="30">
        <f>SUM(AG331:AH336)</f>
        <v>48.85</v>
      </c>
      <c r="AH330" s="30">
        <f t="shared" ref="AH330:AL330" si="148">SUM(AH331:AI336)</f>
        <v>5.3910000000000009</v>
      </c>
      <c r="AI330" s="30">
        <f t="shared" si="148"/>
        <v>4.5560000000000009</v>
      </c>
      <c r="AJ330" s="30">
        <f t="shared" si="148"/>
        <v>3.9989999999999997</v>
      </c>
      <c r="AK330" s="30">
        <f t="shared" si="148"/>
        <v>54.102000000000011</v>
      </c>
      <c r="AL330" s="30">
        <f t="shared" si="148"/>
        <v>53.753000000000007</v>
      </c>
      <c r="AM330" s="30"/>
      <c r="AN330" s="30">
        <f t="shared" ref="AN330:AO330" si="149">AN331</f>
        <v>0</v>
      </c>
      <c r="AO330" s="30">
        <f t="shared" si="149"/>
        <v>0</v>
      </c>
      <c r="AP330" s="30">
        <f>SUM(AP331:AP336)</f>
        <v>15</v>
      </c>
      <c r="AQ330" s="30">
        <f>SUM(AQ331:AQ336)</f>
        <v>66.347000000000008</v>
      </c>
    </row>
    <row r="331" spans="1:43">
      <c r="A331" s="37" t="s">
        <v>130</v>
      </c>
      <c r="B331" s="14"/>
      <c r="C331" s="6"/>
      <c r="D331" s="6"/>
      <c r="E331" s="6"/>
      <c r="F331" s="6"/>
      <c r="G331" s="6"/>
      <c r="H331" s="6"/>
      <c r="I331" s="6">
        <v>5</v>
      </c>
      <c r="J331" s="6">
        <v>12.411</v>
      </c>
      <c r="K331" s="6">
        <v>10.787000000000001</v>
      </c>
      <c r="L331" s="6">
        <v>0.78800000000000003</v>
      </c>
      <c r="M331" s="4">
        <f>ROUND((L331)*0.202,3)</f>
        <v>0.159</v>
      </c>
      <c r="N331" s="21">
        <f>ROUND((L331)*1.0457,3)</f>
        <v>0.82399999999999995</v>
      </c>
      <c r="O331" s="6">
        <v>3.5999999999999997E-2</v>
      </c>
      <c r="P331" s="10">
        <f>SUM(K331:O331)</f>
        <v>12.594000000000001</v>
      </c>
      <c r="Q331" s="6"/>
      <c r="R331" s="6"/>
      <c r="S331" s="6">
        <f>I331+E331</f>
        <v>5</v>
      </c>
      <c r="T331" s="10">
        <f>P331</f>
        <v>12.594000000000001</v>
      </c>
      <c r="U331" s="6"/>
      <c r="V331" s="6"/>
      <c r="W331" s="6"/>
      <c r="X331" s="10"/>
      <c r="Y331" s="6"/>
      <c r="Z331" s="10"/>
      <c r="AA331" s="6"/>
      <c r="AB331" s="10"/>
      <c r="AC331" s="6"/>
      <c r="AD331" s="10"/>
      <c r="AE331" s="6"/>
      <c r="AF331" s="6"/>
      <c r="AG331" s="6"/>
      <c r="AH331" s="6"/>
      <c r="AI331" s="4"/>
      <c r="AJ331" s="21"/>
      <c r="AK331" s="6"/>
      <c r="AL331" s="10">
        <f>SUM(AG331:AK331)</f>
        <v>0</v>
      </c>
      <c r="AM331" s="10"/>
      <c r="AN331" s="6">
        <v>0</v>
      </c>
      <c r="AO331" s="6">
        <v>0</v>
      </c>
      <c r="AP331" s="6">
        <f>S331</f>
        <v>5</v>
      </c>
      <c r="AQ331" s="6">
        <f>T331</f>
        <v>12.594000000000001</v>
      </c>
    </row>
    <row r="332" spans="1:43">
      <c r="A332" s="37" t="s">
        <v>50</v>
      </c>
      <c r="B332" s="14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>
        <v>1</v>
      </c>
      <c r="Z332" s="6">
        <v>3</v>
      </c>
      <c r="AA332" s="6"/>
      <c r="AB332" s="6"/>
      <c r="AC332" s="6">
        <v>1</v>
      </c>
      <c r="AD332" s="6">
        <v>3.5150000000000001</v>
      </c>
      <c r="AE332" s="6"/>
      <c r="AF332" s="6">
        <f>1+1</f>
        <v>2</v>
      </c>
      <c r="AG332" s="6">
        <f>4.128+3.608+1.134</f>
        <v>8.870000000000001</v>
      </c>
      <c r="AH332" s="6">
        <f>0.389+0.37+0.138</f>
        <v>0.89700000000000002</v>
      </c>
      <c r="AI332" s="4">
        <f t="shared" ref="AI332:AI336" si="150">ROUND((AH332)*0.202,3)</f>
        <v>0.18099999999999999</v>
      </c>
      <c r="AJ332" s="21">
        <f>ROUND((AH332)*0.8138,3)</f>
        <v>0.73</v>
      </c>
      <c r="AK332" s="6">
        <f>0.035+0.029+0.005</f>
        <v>6.9000000000000006E-2</v>
      </c>
      <c r="AL332" s="10">
        <f t="shared" ref="AL332:AL335" si="151">SUM(AG332:AK332)</f>
        <v>10.747000000000002</v>
      </c>
      <c r="AM332" s="6"/>
      <c r="AN332" s="6">
        <v>0</v>
      </c>
      <c r="AO332" s="6">
        <v>0</v>
      </c>
      <c r="AP332" s="6">
        <f>AF332</f>
        <v>2</v>
      </c>
      <c r="AQ332" s="10">
        <f>AL332</f>
        <v>10.747000000000002</v>
      </c>
    </row>
    <row r="333" spans="1:43">
      <c r="A333" s="37" t="s">
        <v>25</v>
      </c>
      <c r="B333" s="14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>
        <v>1</v>
      </c>
      <c r="Z333" s="6">
        <v>3</v>
      </c>
      <c r="AA333" s="6"/>
      <c r="AB333" s="6"/>
      <c r="AC333" s="6">
        <v>1</v>
      </c>
      <c r="AD333" s="6">
        <v>3.5150000000000001</v>
      </c>
      <c r="AE333" s="6"/>
      <c r="AF333" s="6">
        <f>1+1</f>
        <v>2</v>
      </c>
      <c r="AG333" s="6">
        <f>4.128+3.608+1.134</f>
        <v>8.870000000000001</v>
      </c>
      <c r="AH333" s="6">
        <f>0.388+0.37+0.138</f>
        <v>0.89600000000000002</v>
      </c>
      <c r="AI333" s="4">
        <f t="shared" si="150"/>
        <v>0.18099999999999999</v>
      </c>
      <c r="AJ333" s="21">
        <f t="shared" ref="AJ333:AJ336" si="152">ROUND((AH333)*0.8138,3)</f>
        <v>0.72899999999999998</v>
      </c>
      <c r="AK333" s="6">
        <f>0.036+0.029+0.005</f>
        <v>7.0000000000000007E-2</v>
      </c>
      <c r="AL333" s="10">
        <f t="shared" si="151"/>
        <v>10.746</v>
      </c>
      <c r="AM333" s="6"/>
      <c r="AN333" s="6">
        <v>0</v>
      </c>
      <c r="AO333" s="6">
        <v>0</v>
      </c>
      <c r="AP333" s="6">
        <f t="shared" ref="AP333:AP336" si="153">AF333</f>
        <v>2</v>
      </c>
      <c r="AQ333" s="10">
        <f t="shared" ref="AQ333:AQ336" si="154">AL333</f>
        <v>10.746</v>
      </c>
    </row>
    <row r="334" spans="1:43">
      <c r="A334" s="37" t="s">
        <v>76</v>
      </c>
      <c r="B334" s="14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>
        <v>1</v>
      </c>
      <c r="Z334" s="6">
        <v>3</v>
      </c>
      <c r="AA334" s="6"/>
      <c r="AB334" s="6"/>
      <c r="AC334" s="6">
        <v>1</v>
      </c>
      <c r="AD334" s="6">
        <v>3.5150000000000001</v>
      </c>
      <c r="AE334" s="6"/>
      <c r="AF334" s="6">
        <f>1+1</f>
        <v>2</v>
      </c>
      <c r="AG334" s="6">
        <f>4.128+3.608+1.149</f>
        <v>8.8850000000000016</v>
      </c>
      <c r="AH334" s="6">
        <f>0.389+0.37+0.14</f>
        <v>0.89900000000000002</v>
      </c>
      <c r="AI334" s="4">
        <f t="shared" si="150"/>
        <v>0.182</v>
      </c>
      <c r="AJ334" s="21">
        <f t="shared" si="152"/>
        <v>0.73199999999999998</v>
      </c>
      <c r="AK334" s="6">
        <f>0.036+0.029+0.005</f>
        <v>7.0000000000000007E-2</v>
      </c>
      <c r="AL334" s="10">
        <f>SUM(AG334:AK334)-0.001</f>
        <v>10.767000000000003</v>
      </c>
      <c r="AM334" s="6"/>
      <c r="AN334" s="6">
        <v>0</v>
      </c>
      <c r="AO334" s="6">
        <v>0</v>
      </c>
      <c r="AP334" s="6">
        <f t="shared" si="153"/>
        <v>2</v>
      </c>
      <c r="AQ334" s="10">
        <f t="shared" si="154"/>
        <v>10.767000000000003</v>
      </c>
    </row>
    <row r="335" spans="1:43">
      <c r="A335" s="37" t="s">
        <v>28</v>
      </c>
      <c r="B335" s="14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>
        <v>1</v>
      </c>
      <c r="Z335" s="6">
        <v>3</v>
      </c>
      <c r="AA335" s="6"/>
      <c r="AB335" s="6"/>
      <c r="AC335" s="6">
        <v>1</v>
      </c>
      <c r="AD335" s="6">
        <v>3.5150000000000001</v>
      </c>
      <c r="AE335" s="6"/>
      <c r="AF335" s="6">
        <f>1+1</f>
        <v>2</v>
      </c>
      <c r="AG335" s="6">
        <f>4.128+3.608+1.134</f>
        <v>8.870000000000001</v>
      </c>
      <c r="AH335" s="6">
        <f>0.388+0.37+0.138</f>
        <v>0.89600000000000002</v>
      </c>
      <c r="AI335" s="4">
        <f t="shared" si="150"/>
        <v>0.18099999999999999</v>
      </c>
      <c r="AJ335" s="21">
        <f t="shared" si="152"/>
        <v>0.72899999999999998</v>
      </c>
      <c r="AK335" s="6">
        <f>0.036+0.029+0.005</f>
        <v>7.0000000000000007E-2</v>
      </c>
      <c r="AL335" s="10">
        <f t="shared" si="151"/>
        <v>10.746</v>
      </c>
      <c r="AM335" s="6"/>
      <c r="AN335" s="6">
        <v>0</v>
      </c>
      <c r="AO335" s="6">
        <v>0</v>
      </c>
      <c r="AP335" s="6">
        <f t="shared" si="153"/>
        <v>2</v>
      </c>
      <c r="AQ335" s="10">
        <f t="shared" si="154"/>
        <v>10.746</v>
      </c>
    </row>
    <row r="336" spans="1:43">
      <c r="A336" s="37" t="s">
        <v>77</v>
      </c>
      <c r="B336" s="14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>
        <v>1</v>
      </c>
      <c r="Z336" s="6">
        <v>3</v>
      </c>
      <c r="AA336" s="6"/>
      <c r="AB336" s="6"/>
      <c r="AC336" s="6">
        <v>1</v>
      </c>
      <c r="AD336" s="6">
        <v>3.5150000000000001</v>
      </c>
      <c r="AE336" s="6"/>
      <c r="AF336" s="6">
        <f>1+1</f>
        <v>2</v>
      </c>
      <c r="AG336" s="6">
        <f>4.128+3.608+1.134</f>
        <v>8.870000000000001</v>
      </c>
      <c r="AH336" s="6">
        <f>0.389+0.37+0.138</f>
        <v>0.89700000000000002</v>
      </c>
      <c r="AI336" s="4">
        <f t="shared" si="150"/>
        <v>0.18099999999999999</v>
      </c>
      <c r="AJ336" s="21">
        <f t="shared" si="152"/>
        <v>0.73</v>
      </c>
      <c r="AK336" s="6">
        <f>0.036+0.029+0.005</f>
        <v>7.0000000000000007E-2</v>
      </c>
      <c r="AL336" s="10">
        <f>SUM(AG336:AK336)-0.001</f>
        <v>10.747000000000002</v>
      </c>
      <c r="AM336" s="6"/>
      <c r="AN336" s="6">
        <v>0</v>
      </c>
      <c r="AO336" s="6">
        <v>0</v>
      </c>
      <c r="AP336" s="6">
        <f t="shared" si="153"/>
        <v>2</v>
      </c>
      <c r="AQ336" s="10">
        <f t="shared" si="154"/>
        <v>10.747000000000002</v>
      </c>
    </row>
    <row r="337" spans="1:43" ht="12">
      <c r="A337" s="39" t="s">
        <v>78</v>
      </c>
      <c r="B337" s="33" t="s">
        <v>79</v>
      </c>
      <c r="C337" s="30">
        <v>1</v>
      </c>
      <c r="D337" s="30">
        <v>10</v>
      </c>
      <c r="E337" s="30"/>
      <c r="F337" s="30"/>
      <c r="G337" s="30">
        <v>1</v>
      </c>
      <c r="H337" s="30">
        <v>10</v>
      </c>
      <c r="I337" s="30"/>
      <c r="J337" s="30"/>
      <c r="K337" s="30"/>
      <c r="L337" s="30"/>
      <c r="M337" s="30"/>
      <c r="N337" s="30"/>
      <c r="O337" s="30"/>
      <c r="P337" s="30"/>
      <c r="Q337" s="30">
        <v>3</v>
      </c>
      <c r="R337" s="30">
        <v>30</v>
      </c>
      <c r="S337" s="30"/>
      <c r="T337" s="30">
        <f>T338</f>
        <v>22.905000000000001</v>
      </c>
      <c r="U337" s="30"/>
      <c r="V337" s="30"/>
      <c r="W337" s="30"/>
      <c r="X337" s="30">
        <f>X338</f>
        <v>0</v>
      </c>
      <c r="Y337" s="30">
        <f>SUM(Y339)</f>
        <v>1</v>
      </c>
      <c r="Z337" s="30">
        <f>SUM(Z339)</f>
        <v>2.8250000000000002</v>
      </c>
      <c r="AA337" s="30">
        <f>SUM(AA339)</f>
        <v>0</v>
      </c>
      <c r="AB337" s="30">
        <f>SUM(AB339)</f>
        <v>0</v>
      </c>
      <c r="AC337" s="30"/>
      <c r="AD337" s="30">
        <f>AD338</f>
        <v>0</v>
      </c>
      <c r="AE337" s="30"/>
      <c r="AF337" s="30">
        <f>SUM(AF339)</f>
        <v>1</v>
      </c>
      <c r="AG337" s="30">
        <f>SUM(AG338:AG339)</f>
        <v>4.1740000000000004</v>
      </c>
      <c r="AH337" s="30">
        <f t="shared" ref="AH337:AL337" si="155">SUM(AH338:AH339)</f>
        <v>1.167</v>
      </c>
      <c r="AI337" s="30">
        <f t="shared" si="155"/>
        <v>0.23599999999999999</v>
      </c>
      <c r="AJ337" s="30">
        <f t="shared" si="155"/>
        <v>0.95</v>
      </c>
      <c r="AK337" s="30">
        <f t="shared" si="155"/>
        <v>7.4999999999999997E-2</v>
      </c>
      <c r="AL337" s="30">
        <f t="shared" si="155"/>
        <v>6.6020000000000003</v>
      </c>
      <c r="AM337" s="30"/>
      <c r="AN337" s="30">
        <v>5</v>
      </c>
      <c r="AO337" s="30">
        <v>50</v>
      </c>
      <c r="AP337" s="30">
        <f>SUM(AP338:AP339)</f>
        <v>6</v>
      </c>
      <c r="AQ337" s="30">
        <f>SUM(AQ338:AQ339)</f>
        <v>29.507000000000001</v>
      </c>
    </row>
    <row r="338" spans="1:43">
      <c r="A338" s="37" t="s">
        <v>130</v>
      </c>
      <c r="B338" s="14"/>
      <c r="C338" s="6"/>
      <c r="D338" s="6"/>
      <c r="E338" s="6">
        <v>5</v>
      </c>
      <c r="F338" s="6">
        <v>22.074000000000002</v>
      </c>
      <c r="G338" s="6"/>
      <c r="H338" s="6"/>
      <c r="I338" s="6"/>
      <c r="J338" s="6"/>
      <c r="K338" s="6">
        <v>14.125</v>
      </c>
      <c r="L338" s="6">
        <v>3.8319999999999999</v>
      </c>
      <c r="M338" s="4">
        <f>ROUND((L338)*0.202,3)</f>
        <v>0.77400000000000002</v>
      </c>
      <c r="N338" s="21">
        <f>ROUND((L338)*1.0457,3)</f>
        <v>4.0069999999999997</v>
      </c>
      <c r="O338" s="6">
        <v>0.16700000000000001</v>
      </c>
      <c r="P338" s="10">
        <f>SUM(K338:O338)</f>
        <v>22.905000000000001</v>
      </c>
      <c r="Q338" s="6">
        <v>3</v>
      </c>
      <c r="R338" s="6">
        <v>30</v>
      </c>
      <c r="S338" s="6">
        <f>I338+E338</f>
        <v>5</v>
      </c>
      <c r="T338" s="10">
        <f>P338</f>
        <v>22.905000000000001</v>
      </c>
      <c r="U338" s="6"/>
      <c r="V338" s="6"/>
      <c r="W338" s="6"/>
      <c r="X338" s="10"/>
      <c r="Y338" s="6"/>
      <c r="Z338" s="10"/>
      <c r="AA338" s="6"/>
      <c r="AB338" s="10"/>
      <c r="AC338" s="6"/>
      <c r="AD338" s="10"/>
      <c r="AE338" s="6"/>
      <c r="AF338" s="6"/>
      <c r="AG338" s="6"/>
      <c r="AH338" s="6"/>
      <c r="AI338" s="4">
        <f>ROUND((AH338)*0.202,3)</f>
        <v>0</v>
      </c>
      <c r="AJ338" s="21">
        <f>ROUND((AH338)*1.0457,3)</f>
        <v>0</v>
      </c>
      <c r="AK338" s="6"/>
      <c r="AL338" s="10">
        <f>SUM(AG338:AK338)</f>
        <v>0</v>
      </c>
      <c r="AM338" s="10"/>
      <c r="AN338" s="6">
        <v>5</v>
      </c>
      <c r="AO338" s="6">
        <v>50</v>
      </c>
      <c r="AP338" s="6">
        <f>S338</f>
        <v>5</v>
      </c>
      <c r="AQ338" s="6">
        <f>T338</f>
        <v>22.905000000000001</v>
      </c>
    </row>
    <row r="339" spans="1:43">
      <c r="A339" s="37" t="s">
        <v>24</v>
      </c>
      <c r="B339" s="23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>
        <v>1</v>
      </c>
      <c r="Z339" s="6">
        <v>2.8250000000000002</v>
      </c>
      <c r="AA339" s="6"/>
      <c r="AB339" s="6"/>
      <c r="AC339" s="6"/>
      <c r="AD339" s="6"/>
      <c r="AE339" s="6"/>
      <c r="AF339" s="6">
        <v>1</v>
      </c>
      <c r="AG339" s="6">
        <v>4.1740000000000004</v>
      </c>
      <c r="AH339" s="6">
        <v>1.167</v>
      </c>
      <c r="AI339" s="4">
        <f t="shared" ref="AI339" si="156">ROUND((AH339)*0.202,3)</f>
        <v>0.23599999999999999</v>
      </c>
      <c r="AJ339" s="21">
        <f>ROUND((AH339)*0.8138,3)</f>
        <v>0.95</v>
      </c>
      <c r="AK339" s="6">
        <v>7.4999999999999997E-2</v>
      </c>
      <c r="AL339" s="10">
        <f t="shared" ref="AL339" si="157">SUM(AG339:AK339)</f>
        <v>6.6020000000000003</v>
      </c>
      <c r="AM339" s="10"/>
      <c r="AN339" s="6">
        <v>0</v>
      </c>
      <c r="AO339" s="6">
        <v>0</v>
      </c>
      <c r="AP339" s="6">
        <f>AF339</f>
        <v>1</v>
      </c>
      <c r="AQ339" s="10">
        <f>AL339</f>
        <v>6.6020000000000003</v>
      </c>
    </row>
    <row r="340" spans="1:43" ht="12">
      <c r="A340" s="39" t="s">
        <v>80</v>
      </c>
      <c r="B340" s="33" t="s">
        <v>72</v>
      </c>
      <c r="C340" s="30"/>
      <c r="D340" s="30"/>
      <c r="E340" s="30">
        <f>SUM(E341:E352)</f>
        <v>50</v>
      </c>
      <c r="F340" s="30">
        <f>SUM(F341:F352)</f>
        <v>6.4309999999999992</v>
      </c>
      <c r="G340" s="30"/>
      <c r="H340" s="30"/>
      <c r="I340" s="30">
        <f t="shared" ref="I340:T340" si="158">SUM(I341:I352)</f>
        <v>30</v>
      </c>
      <c r="J340" s="30">
        <f t="shared" si="158"/>
        <v>3.859</v>
      </c>
      <c r="K340" s="30">
        <f t="shared" si="158"/>
        <v>2.7270000000000003</v>
      </c>
      <c r="L340" s="30">
        <f t="shared" si="158"/>
        <v>3.7519999999999998</v>
      </c>
      <c r="M340" s="30">
        <f t="shared" si="158"/>
        <v>0.754</v>
      </c>
      <c r="N340" s="30">
        <f t="shared" si="158"/>
        <v>3.923</v>
      </c>
      <c r="O340" s="30">
        <f t="shared" si="158"/>
        <v>0</v>
      </c>
      <c r="P340" s="30">
        <f t="shared" si="158"/>
        <v>11.155999999999999</v>
      </c>
      <c r="Q340" s="30">
        <f t="shared" si="158"/>
        <v>0</v>
      </c>
      <c r="R340" s="30">
        <f t="shared" si="158"/>
        <v>0</v>
      </c>
      <c r="S340" s="30">
        <f t="shared" si="158"/>
        <v>80</v>
      </c>
      <c r="T340" s="30">
        <f t="shared" si="158"/>
        <v>11.155999999999999</v>
      </c>
      <c r="U340" s="30"/>
      <c r="V340" s="30"/>
      <c r="W340" s="30">
        <f t="shared" ref="W340:AD340" si="159">SUM(W341:W352)</f>
        <v>0</v>
      </c>
      <c r="X340" s="30">
        <f t="shared" si="159"/>
        <v>0</v>
      </c>
      <c r="Y340" s="30">
        <f t="shared" si="159"/>
        <v>8</v>
      </c>
      <c r="Z340" s="30">
        <f t="shared" si="159"/>
        <v>0.36</v>
      </c>
      <c r="AA340" s="30">
        <f t="shared" si="159"/>
        <v>0</v>
      </c>
      <c r="AB340" s="30">
        <f t="shared" si="159"/>
        <v>0</v>
      </c>
      <c r="AC340" s="30">
        <f t="shared" si="159"/>
        <v>0</v>
      </c>
      <c r="AD340" s="30">
        <f t="shared" si="159"/>
        <v>0</v>
      </c>
      <c r="AE340" s="30"/>
      <c r="AF340" s="30">
        <f t="shared" ref="AF340" si="160">SUM(AF341:AF352)</f>
        <v>9</v>
      </c>
      <c r="AG340" s="30">
        <f>SUM(AG341:AG352)</f>
        <v>0.31400000000000006</v>
      </c>
      <c r="AH340" s="30">
        <f t="shared" ref="AH340:AL340" si="161">SUM(AH341:AH352)</f>
        <v>0.42299999999999993</v>
      </c>
      <c r="AI340" s="30">
        <f t="shared" si="161"/>
        <v>8.199999999999999E-2</v>
      </c>
      <c r="AJ340" s="30">
        <f t="shared" si="161"/>
        <v>0.34299999999999997</v>
      </c>
      <c r="AK340" s="30">
        <f t="shared" si="161"/>
        <v>0</v>
      </c>
      <c r="AL340" s="30">
        <f t="shared" si="161"/>
        <v>1.1619999999999999</v>
      </c>
      <c r="AM340" s="30"/>
      <c r="AN340" s="30">
        <f t="shared" ref="AN340:AP340" si="162">SUM(AN341:AN352)</f>
        <v>0</v>
      </c>
      <c r="AO340" s="30">
        <f t="shared" si="162"/>
        <v>0</v>
      </c>
      <c r="AP340" s="30">
        <f t="shared" si="162"/>
        <v>89</v>
      </c>
      <c r="AQ340" s="30">
        <f>SUM(AQ341:AQ352)</f>
        <v>12.317999999999998</v>
      </c>
    </row>
    <row r="341" spans="1:43">
      <c r="A341" s="37" t="s">
        <v>130</v>
      </c>
      <c r="B341" s="14"/>
      <c r="C341" s="6"/>
      <c r="D341" s="6"/>
      <c r="E341" s="6"/>
      <c r="F341" s="6"/>
      <c r="G341" s="6"/>
      <c r="H341" s="6"/>
      <c r="I341" s="6">
        <v>1</v>
      </c>
      <c r="J341" s="6">
        <v>0.129</v>
      </c>
      <c r="K341" s="6">
        <v>3.4000000000000002E-2</v>
      </c>
      <c r="L341" s="6">
        <v>4.7E-2</v>
      </c>
      <c r="M341" s="4">
        <f t="shared" ref="M341:M347" si="163">ROUND((L341)*0.202,3)</f>
        <v>8.9999999999999993E-3</v>
      </c>
      <c r="N341" s="21">
        <f t="shared" ref="N341:N347" si="164">ROUND((L341)*1.0457,3)</f>
        <v>4.9000000000000002E-2</v>
      </c>
      <c r="O341" s="6"/>
      <c r="P341" s="10">
        <f t="shared" ref="P341:P347" si="165">SUM(K341:O341)</f>
        <v>0.13900000000000001</v>
      </c>
      <c r="Q341" s="6"/>
      <c r="R341" s="6"/>
      <c r="S341" s="6">
        <f t="shared" ref="S341:S347" si="166">I341+E341</f>
        <v>1</v>
      </c>
      <c r="T341" s="10">
        <f t="shared" ref="T341:T347" si="167">P341</f>
        <v>0.13900000000000001</v>
      </c>
      <c r="U341" s="6"/>
      <c r="V341" s="6"/>
      <c r="W341" s="6"/>
      <c r="X341" s="10"/>
      <c r="Y341" s="6"/>
      <c r="Z341" s="10"/>
      <c r="AA341" s="6"/>
      <c r="AB341" s="10"/>
      <c r="AC341" s="6"/>
      <c r="AD341" s="10"/>
      <c r="AE341" s="6"/>
      <c r="AF341" s="6"/>
      <c r="AG341" s="6"/>
      <c r="AH341" s="6"/>
      <c r="AI341" s="4">
        <f t="shared" ref="AI341:AI348" si="168">ROUND((AH341)*0.202,3)</f>
        <v>0</v>
      </c>
      <c r="AJ341" s="21">
        <f t="shared" ref="AJ341:AJ344" si="169">ROUND((AH341)*0.8138,3)</f>
        <v>0</v>
      </c>
      <c r="AK341" s="6"/>
      <c r="AL341" s="10">
        <f t="shared" ref="AL341:AL348" si="170">SUM(AG341:AK341)</f>
        <v>0</v>
      </c>
      <c r="AM341" s="10"/>
      <c r="AN341" s="6">
        <v>0</v>
      </c>
      <c r="AO341" s="6">
        <v>0</v>
      </c>
      <c r="AP341" s="6">
        <f>S341</f>
        <v>1</v>
      </c>
      <c r="AQ341" s="6">
        <f>T341</f>
        <v>0.13900000000000001</v>
      </c>
    </row>
    <row r="342" spans="1:43">
      <c r="A342" s="37" t="s">
        <v>142</v>
      </c>
      <c r="B342" s="14"/>
      <c r="C342" s="6"/>
      <c r="D342" s="6"/>
      <c r="E342" s="6">
        <v>1</v>
      </c>
      <c r="F342" s="6">
        <v>0.129</v>
      </c>
      <c r="G342" s="6"/>
      <c r="H342" s="6"/>
      <c r="I342" s="6"/>
      <c r="J342" s="6"/>
      <c r="K342" s="6">
        <v>3.4000000000000002E-2</v>
      </c>
      <c r="L342" s="6">
        <v>4.7E-2</v>
      </c>
      <c r="M342" s="4">
        <f t="shared" si="163"/>
        <v>8.9999999999999993E-3</v>
      </c>
      <c r="N342" s="21">
        <f t="shared" si="164"/>
        <v>4.9000000000000002E-2</v>
      </c>
      <c r="O342" s="6"/>
      <c r="P342" s="10">
        <f t="shared" si="165"/>
        <v>0.13900000000000001</v>
      </c>
      <c r="Q342" s="6"/>
      <c r="R342" s="6"/>
      <c r="S342" s="6">
        <f t="shared" si="166"/>
        <v>1</v>
      </c>
      <c r="T342" s="10">
        <f t="shared" si="167"/>
        <v>0.13900000000000001</v>
      </c>
      <c r="U342" s="6"/>
      <c r="V342" s="6"/>
      <c r="W342" s="6"/>
      <c r="X342" s="10"/>
      <c r="Y342" s="6"/>
      <c r="Z342" s="10"/>
      <c r="AA342" s="6"/>
      <c r="AB342" s="10"/>
      <c r="AC342" s="6"/>
      <c r="AD342" s="10"/>
      <c r="AE342" s="6"/>
      <c r="AF342" s="6"/>
      <c r="AG342" s="6"/>
      <c r="AH342" s="6"/>
      <c r="AI342" s="4">
        <f t="shared" si="168"/>
        <v>0</v>
      </c>
      <c r="AJ342" s="21">
        <f t="shared" si="169"/>
        <v>0</v>
      </c>
      <c r="AK342" s="6"/>
      <c r="AL342" s="10">
        <f t="shared" si="170"/>
        <v>0</v>
      </c>
      <c r="AM342" s="10"/>
      <c r="AN342" s="6">
        <v>0</v>
      </c>
      <c r="AO342" s="6">
        <v>0</v>
      </c>
      <c r="AP342" s="6">
        <f t="shared" ref="AP342:AQ347" si="171">S342</f>
        <v>1</v>
      </c>
      <c r="AQ342" s="6">
        <f t="shared" si="171"/>
        <v>0.13900000000000001</v>
      </c>
    </row>
    <row r="343" spans="1:43">
      <c r="A343" s="37" t="s">
        <v>132</v>
      </c>
      <c r="B343" s="14"/>
      <c r="C343" s="6"/>
      <c r="D343" s="6"/>
      <c r="E343" s="6">
        <v>3</v>
      </c>
      <c r="F343" s="6">
        <v>0.38600000000000001</v>
      </c>
      <c r="G343" s="6"/>
      <c r="H343" s="6"/>
      <c r="I343" s="6"/>
      <c r="J343" s="6"/>
      <c r="K343" s="6">
        <v>0.10199999999999999</v>
      </c>
      <c r="L343" s="6">
        <v>0.14099999999999999</v>
      </c>
      <c r="M343" s="4">
        <f t="shared" si="163"/>
        <v>2.8000000000000001E-2</v>
      </c>
      <c r="N343" s="21">
        <f t="shared" si="164"/>
        <v>0.14699999999999999</v>
      </c>
      <c r="O343" s="6"/>
      <c r="P343" s="10">
        <f t="shared" si="165"/>
        <v>0.41800000000000004</v>
      </c>
      <c r="Q343" s="6"/>
      <c r="R343" s="6"/>
      <c r="S343" s="6">
        <f t="shared" si="166"/>
        <v>3</v>
      </c>
      <c r="T343" s="10">
        <f t="shared" si="167"/>
        <v>0.41800000000000004</v>
      </c>
      <c r="U343" s="6"/>
      <c r="V343" s="6"/>
      <c r="W343" s="6"/>
      <c r="X343" s="10"/>
      <c r="Y343" s="6"/>
      <c r="Z343" s="10"/>
      <c r="AA343" s="6"/>
      <c r="AB343" s="10"/>
      <c r="AC343" s="6"/>
      <c r="AD343" s="10"/>
      <c r="AE343" s="6"/>
      <c r="AF343" s="6"/>
      <c r="AG343" s="6"/>
      <c r="AH343" s="6"/>
      <c r="AI343" s="4">
        <f t="shared" si="168"/>
        <v>0</v>
      </c>
      <c r="AJ343" s="21">
        <f t="shared" si="169"/>
        <v>0</v>
      </c>
      <c r="AK343" s="6"/>
      <c r="AL343" s="10">
        <f t="shared" si="170"/>
        <v>0</v>
      </c>
      <c r="AM343" s="10"/>
      <c r="AN343" s="6">
        <v>0</v>
      </c>
      <c r="AO343" s="6">
        <v>0</v>
      </c>
      <c r="AP343" s="6">
        <f t="shared" si="171"/>
        <v>3</v>
      </c>
      <c r="AQ343" s="6">
        <f t="shared" si="171"/>
        <v>0.41800000000000004</v>
      </c>
    </row>
    <row r="344" spans="1:43">
      <c r="A344" s="37" t="s">
        <v>121</v>
      </c>
      <c r="B344" s="14"/>
      <c r="C344" s="6"/>
      <c r="D344" s="6"/>
      <c r="E344" s="6">
        <v>1</v>
      </c>
      <c r="F344" s="6">
        <v>0.129</v>
      </c>
      <c r="G344" s="6"/>
      <c r="H344" s="6"/>
      <c r="I344" s="6"/>
      <c r="J344" s="6"/>
      <c r="K344" s="6">
        <v>3.4000000000000002E-2</v>
      </c>
      <c r="L344" s="6">
        <v>4.7E-2</v>
      </c>
      <c r="M344" s="4">
        <f t="shared" si="163"/>
        <v>8.9999999999999993E-3</v>
      </c>
      <c r="N344" s="21">
        <f t="shared" si="164"/>
        <v>4.9000000000000002E-2</v>
      </c>
      <c r="O344" s="6"/>
      <c r="P344" s="10">
        <f t="shared" si="165"/>
        <v>0.13900000000000001</v>
      </c>
      <c r="Q344" s="6"/>
      <c r="R344" s="6"/>
      <c r="S344" s="6">
        <f t="shared" si="166"/>
        <v>1</v>
      </c>
      <c r="T344" s="10">
        <f t="shared" si="167"/>
        <v>0.13900000000000001</v>
      </c>
      <c r="U344" s="6"/>
      <c r="V344" s="6"/>
      <c r="W344" s="6"/>
      <c r="X344" s="10"/>
      <c r="Y344" s="6"/>
      <c r="Z344" s="10"/>
      <c r="AA344" s="6"/>
      <c r="AB344" s="10"/>
      <c r="AC344" s="6"/>
      <c r="AD344" s="10"/>
      <c r="AE344" s="6"/>
      <c r="AF344" s="6"/>
      <c r="AG344" s="6"/>
      <c r="AH344" s="6"/>
      <c r="AI344" s="4">
        <f t="shared" si="168"/>
        <v>0</v>
      </c>
      <c r="AJ344" s="21">
        <f t="shared" si="169"/>
        <v>0</v>
      </c>
      <c r="AK344" s="6"/>
      <c r="AL344" s="10">
        <f t="shared" si="170"/>
        <v>0</v>
      </c>
      <c r="AM344" s="10"/>
      <c r="AN344" s="6">
        <v>0</v>
      </c>
      <c r="AO344" s="6">
        <v>0</v>
      </c>
      <c r="AP344" s="6">
        <f t="shared" si="171"/>
        <v>1</v>
      </c>
      <c r="AQ344" s="6">
        <f t="shared" si="171"/>
        <v>0.13900000000000001</v>
      </c>
    </row>
    <row r="345" spans="1:43">
      <c r="A345" s="37" t="s">
        <v>50</v>
      </c>
      <c r="B345" s="14"/>
      <c r="C345" s="6"/>
      <c r="D345" s="6"/>
      <c r="E345" s="6"/>
      <c r="F345" s="6"/>
      <c r="G345" s="6"/>
      <c r="H345" s="6"/>
      <c r="I345" s="6">
        <v>5</v>
      </c>
      <c r="J345" s="6">
        <v>0.64300000000000002</v>
      </c>
      <c r="K345" s="6">
        <v>0.17100000000000001</v>
      </c>
      <c r="L345" s="6">
        <v>0.23400000000000001</v>
      </c>
      <c r="M345" s="4">
        <f t="shared" si="163"/>
        <v>4.7E-2</v>
      </c>
      <c r="N345" s="21">
        <f t="shared" si="164"/>
        <v>0.245</v>
      </c>
      <c r="O345" s="6"/>
      <c r="P345" s="10">
        <f t="shared" si="165"/>
        <v>0.69700000000000006</v>
      </c>
      <c r="Q345" s="6"/>
      <c r="R345" s="6"/>
      <c r="S345" s="6">
        <f t="shared" si="166"/>
        <v>5</v>
      </c>
      <c r="T345" s="10">
        <f t="shared" si="167"/>
        <v>0.69700000000000006</v>
      </c>
      <c r="U345" s="6"/>
      <c r="V345" s="6"/>
      <c r="W345" s="6"/>
      <c r="X345" s="10"/>
      <c r="Y345" s="6">
        <v>4</v>
      </c>
      <c r="Z345" s="10">
        <v>0.18</v>
      </c>
      <c r="AA345" s="6"/>
      <c r="AB345" s="10"/>
      <c r="AC345" s="6"/>
      <c r="AD345" s="10"/>
      <c r="AE345" s="6"/>
      <c r="AF345" s="6">
        <v>1</v>
      </c>
      <c r="AG345" s="6">
        <v>3.5000000000000003E-2</v>
      </c>
      <c r="AH345" s="6">
        <v>4.7E-2</v>
      </c>
      <c r="AI345" s="4">
        <f t="shared" si="168"/>
        <v>8.9999999999999993E-3</v>
      </c>
      <c r="AJ345" s="21">
        <f>ROUND((AH345)*0.8138,3)</f>
        <v>3.7999999999999999E-2</v>
      </c>
      <c r="AK345" s="6"/>
      <c r="AL345" s="10">
        <f t="shared" si="170"/>
        <v>0.129</v>
      </c>
      <c r="AM345" s="10"/>
      <c r="AN345" s="6">
        <v>0</v>
      </c>
      <c r="AO345" s="6">
        <v>0</v>
      </c>
      <c r="AP345" s="6">
        <f>S345+AF345</f>
        <v>6</v>
      </c>
      <c r="AQ345" s="10">
        <f>T345+AL345</f>
        <v>0.82600000000000007</v>
      </c>
    </row>
    <row r="346" spans="1:43">
      <c r="A346" s="37" t="s">
        <v>25</v>
      </c>
      <c r="B346" s="14"/>
      <c r="C346" s="6"/>
      <c r="D346" s="6"/>
      <c r="E346" s="6"/>
      <c r="F346" s="6"/>
      <c r="G346" s="6"/>
      <c r="H346" s="6"/>
      <c r="I346" s="6">
        <v>4</v>
      </c>
      <c r="J346" s="6">
        <v>0.51400000000000001</v>
      </c>
      <c r="K346" s="6">
        <v>0.13600000000000001</v>
      </c>
      <c r="L346" s="6">
        <v>0.188</v>
      </c>
      <c r="M346" s="4">
        <f t="shared" si="163"/>
        <v>3.7999999999999999E-2</v>
      </c>
      <c r="N346" s="21">
        <f t="shared" si="164"/>
        <v>0.19700000000000001</v>
      </c>
      <c r="O346" s="6"/>
      <c r="P346" s="10">
        <f t="shared" si="165"/>
        <v>0.55899999999999994</v>
      </c>
      <c r="Q346" s="6"/>
      <c r="R346" s="6"/>
      <c r="S346" s="6">
        <f t="shared" si="166"/>
        <v>4</v>
      </c>
      <c r="T346" s="10">
        <f t="shared" si="167"/>
        <v>0.55899999999999994</v>
      </c>
      <c r="U346" s="6"/>
      <c r="V346" s="6"/>
      <c r="W346" s="6"/>
      <c r="X346" s="10"/>
      <c r="Y346" s="6"/>
      <c r="Z346" s="10"/>
      <c r="AA346" s="6"/>
      <c r="AB346" s="10"/>
      <c r="AC346" s="6"/>
      <c r="AD346" s="10"/>
      <c r="AE346" s="6"/>
      <c r="AF346" s="6">
        <v>1</v>
      </c>
      <c r="AG346" s="6">
        <v>3.5000000000000003E-2</v>
      </c>
      <c r="AH346" s="6">
        <v>4.7E-2</v>
      </c>
      <c r="AI346" s="4">
        <f t="shared" si="168"/>
        <v>8.9999999999999993E-3</v>
      </c>
      <c r="AJ346" s="21">
        <f t="shared" ref="AJ346:AJ352" si="172">ROUND((AH346)*0.8138,3)</f>
        <v>3.7999999999999999E-2</v>
      </c>
      <c r="AK346" s="6"/>
      <c r="AL346" s="10">
        <f t="shared" si="170"/>
        <v>0.129</v>
      </c>
      <c r="AM346" s="10"/>
      <c r="AN346" s="6">
        <v>0</v>
      </c>
      <c r="AO346" s="6">
        <v>0</v>
      </c>
      <c r="AP346" s="6">
        <f>S346+AF346</f>
        <v>5</v>
      </c>
      <c r="AQ346" s="10">
        <f>T346+AL346</f>
        <v>0.68799999999999994</v>
      </c>
    </row>
    <row r="347" spans="1:43">
      <c r="A347" s="37" t="s">
        <v>128</v>
      </c>
      <c r="B347" s="14"/>
      <c r="C347" s="6"/>
      <c r="D347" s="6"/>
      <c r="E347" s="6">
        <v>2</v>
      </c>
      <c r="F347" s="6">
        <v>0.25700000000000001</v>
      </c>
      <c r="G347" s="6"/>
      <c r="H347" s="6"/>
      <c r="I347" s="6"/>
      <c r="J347" s="6"/>
      <c r="K347" s="6">
        <v>6.8000000000000005E-2</v>
      </c>
      <c r="L347" s="6">
        <v>9.4E-2</v>
      </c>
      <c r="M347" s="4">
        <f t="shared" si="163"/>
        <v>1.9E-2</v>
      </c>
      <c r="N347" s="21">
        <f t="shared" si="164"/>
        <v>9.8000000000000004E-2</v>
      </c>
      <c r="O347" s="6"/>
      <c r="P347" s="10">
        <f t="shared" si="165"/>
        <v>0.27900000000000003</v>
      </c>
      <c r="Q347" s="6"/>
      <c r="R347" s="6"/>
      <c r="S347" s="6">
        <f t="shared" si="166"/>
        <v>2</v>
      </c>
      <c r="T347" s="10">
        <f t="shared" si="167"/>
        <v>0.27900000000000003</v>
      </c>
      <c r="U347" s="6"/>
      <c r="V347" s="6"/>
      <c r="W347" s="6"/>
      <c r="X347" s="10"/>
      <c r="Y347" s="6"/>
      <c r="Z347" s="10"/>
      <c r="AA347" s="6"/>
      <c r="AB347" s="10"/>
      <c r="AC347" s="6"/>
      <c r="AD347" s="10"/>
      <c r="AE347" s="6"/>
      <c r="AF347" s="6"/>
      <c r="AG347" s="6"/>
      <c r="AH347" s="6"/>
      <c r="AI347" s="4">
        <f t="shared" si="168"/>
        <v>0</v>
      </c>
      <c r="AJ347" s="21">
        <f t="shared" si="172"/>
        <v>0</v>
      </c>
      <c r="AK347" s="6"/>
      <c r="AL347" s="10">
        <f t="shared" si="170"/>
        <v>0</v>
      </c>
      <c r="AM347" s="10"/>
      <c r="AN347" s="6">
        <v>0</v>
      </c>
      <c r="AO347" s="6">
        <v>0</v>
      </c>
      <c r="AP347" s="6">
        <f t="shared" si="171"/>
        <v>2</v>
      </c>
      <c r="AQ347" s="6">
        <f t="shared" si="171"/>
        <v>0.27900000000000003</v>
      </c>
    </row>
    <row r="348" spans="1:43">
      <c r="A348" s="37" t="s">
        <v>129</v>
      </c>
      <c r="B348" s="14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4"/>
      <c r="N348" s="21"/>
      <c r="O348" s="6"/>
      <c r="P348" s="10"/>
      <c r="Q348" s="6"/>
      <c r="R348" s="6"/>
      <c r="S348" s="6"/>
      <c r="T348" s="10"/>
      <c r="U348" s="6"/>
      <c r="V348" s="6"/>
      <c r="W348" s="6"/>
      <c r="X348" s="10"/>
      <c r="Y348" s="6">
        <v>3</v>
      </c>
      <c r="Z348" s="10">
        <v>0.13500000000000001</v>
      </c>
      <c r="AA348" s="6"/>
      <c r="AB348" s="10"/>
      <c r="AC348" s="6"/>
      <c r="AD348" s="10"/>
      <c r="AE348" s="6"/>
      <c r="AF348" s="6">
        <v>3</v>
      </c>
      <c r="AG348" s="6">
        <v>0.104</v>
      </c>
      <c r="AH348" s="6">
        <v>0.14099999999999999</v>
      </c>
      <c r="AI348" s="4">
        <f t="shared" si="168"/>
        <v>2.8000000000000001E-2</v>
      </c>
      <c r="AJ348" s="21">
        <f t="shared" si="172"/>
        <v>0.115</v>
      </c>
      <c r="AK348" s="6"/>
      <c r="AL348" s="10">
        <f t="shared" si="170"/>
        <v>0.38800000000000001</v>
      </c>
      <c r="AM348" s="10"/>
      <c r="AN348" s="6">
        <v>0</v>
      </c>
      <c r="AO348" s="6">
        <v>0</v>
      </c>
      <c r="AP348" s="6">
        <f>AF348</f>
        <v>3</v>
      </c>
      <c r="AQ348" s="10">
        <f>AL348</f>
        <v>0.38800000000000001</v>
      </c>
    </row>
    <row r="349" spans="1:43">
      <c r="A349" s="37" t="s">
        <v>136</v>
      </c>
      <c r="B349" s="14"/>
      <c r="C349" s="6"/>
      <c r="D349" s="6"/>
      <c r="E349" s="6">
        <v>1</v>
      </c>
      <c r="F349" s="6">
        <v>0.129</v>
      </c>
      <c r="G349" s="6"/>
      <c r="H349" s="6"/>
      <c r="I349" s="6"/>
      <c r="J349" s="6"/>
      <c r="K349" s="6">
        <v>3.4000000000000002E-2</v>
      </c>
      <c r="L349" s="6">
        <v>4.7E-2</v>
      </c>
      <c r="M349" s="4">
        <f>ROUND((L349)*0.202,3)</f>
        <v>8.9999999999999993E-3</v>
      </c>
      <c r="N349" s="21">
        <f>ROUND((L349)*1.0457,3)</f>
        <v>4.9000000000000002E-2</v>
      </c>
      <c r="O349" s="6"/>
      <c r="P349" s="10">
        <f>SUM(K349:O349)</f>
        <v>0.13900000000000001</v>
      </c>
      <c r="Q349" s="6"/>
      <c r="R349" s="6"/>
      <c r="S349" s="6">
        <f>I349+E349</f>
        <v>1</v>
      </c>
      <c r="T349" s="10">
        <f>P349</f>
        <v>0.13900000000000001</v>
      </c>
      <c r="U349" s="6"/>
      <c r="V349" s="6"/>
      <c r="W349" s="6"/>
      <c r="X349" s="10"/>
      <c r="Y349" s="6"/>
      <c r="Z349" s="10"/>
      <c r="AA349" s="6"/>
      <c r="AB349" s="10"/>
      <c r="AC349" s="6"/>
      <c r="AD349" s="10"/>
      <c r="AE349" s="6"/>
      <c r="AF349" s="6">
        <v>1</v>
      </c>
      <c r="AG349" s="6">
        <v>3.5000000000000003E-2</v>
      </c>
      <c r="AH349" s="6">
        <v>4.7E-2</v>
      </c>
      <c r="AI349" s="4">
        <f>ROUND((AH349)*0.202,3)</f>
        <v>8.9999999999999993E-3</v>
      </c>
      <c r="AJ349" s="21">
        <f t="shared" si="172"/>
        <v>3.7999999999999999E-2</v>
      </c>
      <c r="AK349" s="6"/>
      <c r="AL349" s="10">
        <f>SUM(AG349:AK349)</f>
        <v>0.129</v>
      </c>
      <c r="AM349" s="10"/>
      <c r="AN349" s="6">
        <v>0</v>
      </c>
      <c r="AO349" s="6">
        <v>0</v>
      </c>
      <c r="AP349" s="6">
        <f>S349+AF349</f>
        <v>2</v>
      </c>
      <c r="AQ349" s="10">
        <f>T349+AL349</f>
        <v>0.26800000000000002</v>
      </c>
    </row>
    <row r="350" spans="1:43">
      <c r="A350" s="37" t="s">
        <v>27</v>
      </c>
      <c r="B350" s="14"/>
      <c r="C350" s="6"/>
      <c r="D350" s="6"/>
      <c r="E350" s="6"/>
      <c r="F350" s="6"/>
      <c r="G350" s="6"/>
      <c r="H350" s="6"/>
      <c r="I350" s="6">
        <v>1</v>
      </c>
      <c r="J350" s="6">
        <v>0.129</v>
      </c>
      <c r="K350" s="6">
        <v>3.4000000000000002E-2</v>
      </c>
      <c r="L350" s="6">
        <v>4.7E-2</v>
      </c>
      <c r="M350" s="4">
        <f>ROUND((L350)*0.202,3)</f>
        <v>8.9999999999999993E-3</v>
      </c>
      <c r="N350" s="21">
        <f>ROUND((L350)*1.0457,3)</f>
        <v>4.9000000000000002E-2</v>
      </c>
      <c r="O350" s="6"/>
      <c r="P350" s="10">
        <f>SUM(K350:O350)</f>
        <v>0.13900000000000001</v>
      </c>
      <c r="Q350" s="6"/>
      <c r="R350" s="6"/>
      <c r="S350" s="6">
        <f>I350+E350</f>
        <v>1</v>
      </c>
      <c r="T350" s="10">
        <f>P350</f>
        <v>0.13900000000000001</v>
      </c>
      <c r="U350" s="6"/>
      <c r="V350" s="6"/>
      <c r="W350" s="6"/>
      <c r="X350" s="10"/>
      <c r="Y350" s="6"/>
      <c r="Z350" s="10"/>
      <c r="AA350" s="6"/>
      <c r="AB350" s="10"/>
      <c r="AC350" s="6"/>
      <c r="AD350" s="10"/>
      <c r="AE350" s="6"/>
      <c r="AF350" s="6">
        <v>1</v>
      </c>
      <c r="AG350" s="6">
        <v>3.5000000000000003E-2</v>
      </c>
      <c r="AH350" s="6">
        <v>4.7E-2</v>
      </c>
      <c r="AI350" s="4">
        <f>ROUND((AH350)*0.202,3)</f>
        <v>8.9999999999999993E-3</v>
      </c>
      <c r="AJ350" s="21">
        <f t="shared" si="172"/>
        <v>3.7999999999999999E-2</v>
      </c>
      <c r="AK350" s="6"/>
      <c r="AL350" s="10">
        <f>SUM(AG350:AK350)</f>
        <v>0.129</v>
      </c>
      <c r="AM350" s="10"/>
      <c r="AN350" s="6">
        <v>0</v>
      </c>
      <c r="AO350" s="6">
        <v>0</v>
      </c>
      <c r="AP350" s="6">
        <f>S350+AF350</f>
        <v>2</v>
      </c>
      <c r="AQ350" s="10">
        <f>T350+AL350</f>
        <v>0.26800000000000002</v>
      </c>
    </row>
    <row r="351" spans="1:43">
      <c r="A351" s="37" t="s">
        <v>28</v>
      </c>
      <c r="B351" s="14"/>
      <c r="C351" s="6"/>
      <c r="D351" s="6"/>
      <c r="E351" s="6">
        <v>4</v>
      </c>
      <c r="F351" s="6">
        <v>0.51400000000000001</v>
      </c>
      <c r="G351" s="6"/>
      <c r="H351" s="6"/>
      <c r="I351" s="6">
        <v>3</v>
      </c>
      <c r="J351" s="6">
        <v>0.38600000000000001</v>
      </c>
      <c r="K351" s="6">
        <f>0.102+0.136</f>
        <v>0.23799999999999999</v>
      </c>
      <c r="L351" s="6">
        <f>0.141+0.188</f>
        <v>0.32899999999999996</v>
      </c>
      <c r="M351" s="4">
        <f>ROUND((L351)*0.202,3)</f>
        <v>6.6000000000000003E-2</v>
      </c>
      <c r="N351" s="21">
        <f>ROUND((L351)*1.0457,3)</f>
        <v>0.34399999999999997</v>
      </c>
      <c r="O351" s="6"/>
      <c r="P351" s="10">
        <f>SUM(K351:O351)</f>
        <v>0.97699999999999998</v>
      </c>
      <c r="Q351" s="6"/>
      <c r="R351" s="6"/>
      <c r="S351" s="6">
        <f>I351+E351</f>
        <v>7</v>
      </c>
      <c r="T351" s="10">
        <f>P351</f>
        <v>0.97699999999999998</v>
      </c>
      <c r="U351" s="6"/>
      <c r="V351" s="6"/>
      <c r="W351" s="6"/>
      <c r="X351" s="10"/>
      <c r="Y351" s="6"/>
      <c r="Z351" s="10"/>
      <c r="AA351" s="6"/>
      <c r="AB351" s="10"/>
      <c r="AC351" s="6"/>
      <c r="AD351" s="10"/>
      <c r="AE351" s="6"/>
      <c r="AF351" s="6">
        <v>1</v>
      </c>
      <c r="AG351" s="6">
        <v>3.5000000000000003E-2</v>
      </c>
      <c r="AH351" s="6">
        <v>4.7E-2</v>
      </c>
      <c r="AI351" s="4">
        <f>ROUND((AH351)*0.202,3)</f>
        <v>8.9999999999999993E-3</v>
      </c>
      <c r="AJ351" s="21">
        <f t="shared" si="172"/>
        <v>3.7999999999999999E-2</v>
      </c>
      <c r="AK351" s="6"/>
      <c r="AL351" s="10">
        <f>SUM(AG351:AK351)</f>
        <v>0.129</v>
      </c>
      <c r="AM351" s="10"/>
      <c r="AN351" s="6">
        <v>0</v>
      </c>
      <c r="AO351" s="6">
        <v>0</v>
      </c>
      <c r="AP351" s="6">
        <f>S351+AF351</f>
        <v>8</v>
      </c>
      <c r="AQ351" s="10">
        <f>T351+AL351</f>
        <v>1.1059999999999999</v>
      </c>
    </row>
    <row r="352" spans="1:43">
      <c r="A352" s="37" t="s">
        <v>29</v>
      </c>
      <c r="B352" s="14"/>
      <c r="C352" s="6"/>
      <c r="D352" s="6"/>
      <c r="E352" s="6">
        <v>38</v>
      </c>
      <c r="F352" s="6">
        <v>4.8869999999999996</v>
      </c>
      <c r="G352" s="6"/>
      <c r="H352" s="6"/>
      <c r="I352" s="6">
        <v>16</v>
      </c>
      <c r="J352" s="6">
        <v>2.0579999999999998</v>
      </c>
      <c r="K352" s="6">
        <f>0.546+1.296</f>
        <v>1.8420000000000001</v>
      </c>
      <c r="L352" s="6">
        <f>0.75+1.781</f>
        <v>2.5309999999999997</v>
      </c>
      <c r="M352" s="4">
        <f>ROUND((L352)*0.202,3)</f>
        <v>0.51100000000000001</v>
      </c>
      <c r="N352" s="21">
        <f>ROUND((L352)*1.0457,3)</f>
        <v>2.6469999999999998</v>
      </c>
      <c r="O352" s="6"/>
      <c r="P352" s="10">
        <f>SUM(K352:O352)</f>
        <v>7.5309999999999988</v>
      </c>
      <c r="Q352" s="6"/>
      <c r="R352" s="6"/>
      <c r="S352" s="6">
        <f>I352+E352</f>
        <v>54</v>
      </c>
      <c r="T352" s="10">
        <f>P352</f>
        <v>7.5309999999999988</v>
      </c>
      <c r="U352" s="6"/>
      <c r="V352" s="6"/>
      <c r="W352" s="6"/>
      <c r="X352" s="10"/>
      <c r="Y352" s="6">
        <v>1</v>
      </c>
      <c r="Z352" s="10">
        <v>4.4999999999999998E-2</v>
      </c>
      <c r="AA352" s="6"/>
      <c r="AB352" s="10"/>
      <c r="AC352" s="6"/>
      <c r="AD352" s="10"/>
      <c r="AE352" s="6"/>
      <c r="AF352" s="6">
        <v>1</v>
      </c>
      <c r="AG352" s="6">
        <v>3.5000000000000003E-2</v>
      </c>
      <c r="AH352" s="6">
        <v>4.7E-2</v>
      </c>
      <c r="AI352" s="4">
        <f>ROUND((AH352)*0.202,3)</f>
        <v>8.9999999999999993E-3</v>
      </c>
      <c r="AJ352" s="21">
        <f t="shared" si="172"/>
        <v>3.7999999999999999E-2</v>
      </c>
      <c r="AK352" s="6"/>
      <c r="AL352" s="10">
        <f>SUM(AG352:AK352)</f>
        <v>0.129</v>
      </c>
      <c r="AM352" s="10"/>
      <c r="AN352" s="6">
        <v>0</v>
      </c>
      <c r="AO352" s="6">
        <v>0</v>
      </c>
      <c r="AP352" s="6">
        <f>S352+AF352</f>
        <v>55</v>
      </c>
      <c r="AQ352" s="10">
        <f>T352+AL352</f>
        <v>7.6599999999999984</v>
      </c>
    </row>
    <row r="353" spans="1:43" ht="12">
      <c r="A353" s="39" t="s">
        <v>148</v>
      </c>
      <c r="B353" s="33" t="s">
        <v>79</v>
      </c>
      <c r="C353" s="30">
        <v>6</v>
      </c>
      <c r="D353" s="30">
        <v>15</v>
      </c>
      <c r="E353" s="30">
        <f>SUM(E355:E373)</f>
        <v>7</v>
      </c>
      <c r="F353" s="30">
        <f>SUM(F355:F373)</f>
        <v>0.8</v>
      </c>
      <c r="G353" s="30">
        <v>6</v>
      </c>
      <c r="H353" s="30">
        <v>15</v>
      </c>
      <c r="I353" s="30">
        <f>SUM(I355:I367)</f>
        <v>3</v>
      </c>
      <c r="J353" s="30">
        <f>SUM(J355:J366)</f>
        <v>1.7750000000000001</v>
      </c>
      <c r="K353" s="30">
        <f t="shared" ref="K353:P353" si="173">SUM(K355:K367)</f>
        <v>1.6E-2</v>
      </c>
      <c r="L353" s="30">
        <f t="shared" si="173"/>
        <v>1.2010000000000001</v>
      </c>
      <c r="M353" s="30">
        <f t="shared" si="173"/>
        <v>0.24400000000000005</v>
      </c>
      <c r="N353" s="30">
        <f t="shared" si="173"/>
        <v>1.2559999999999998</v>
      </c>
      <c r="O353" s="30">
        <f t="shared" si="173"/>
        <v>3.3000000000000002E-2</v>
      </c>
      <c r="P353" s="30">
        <f t="shared" si="173"/>
        <v>2.7500000000000004</v>
      </c>
      <c r="Q353" s="30">
        <f>SUM(Q354:Q367)</f>
        <v>9</v>
      </c>
      <c r="R353" s="30">
        <f>SUM(R354:R367)</f>
        <v>22.5</v>
      </c>
      <c r="S353" s="30">
        <f>SUM(S355:S367)</f>
        <v>10</v>
      </c>
      <c r="T353" s="30">
        <f>SUM(T355:T366)</f>
        <v>2.8500000000000005</v>
      </c>
      <c r="U353" s="30"/>
      <c r="V353" s="30"/>
      <c r="W353" s="30">
        <f>SUM(W355:W367)</f>
        <v>0</v>
      </c>
      <c r="X353" s="30">
        <f>SUM(X355:X366)</f>
        <v>0</v>
      </c>
      <c r="Y353" s="30">
        <f>SUM(Y355:Y367)</f>
        <v>0</v>
      </c>
      <c r="Z353" s="30">
        <f>SUM(Z355:Z366)</f>
        <v>0</v>
      </c>
      <c r="AA353" s="30">
        <f>SUM(AA355:AA367)</f>
        <v>0</v>
      </c>
      <c r="AB353" s="30">
        <f>SUM(AB355:AB366)</f>
        <v>0</v>
      </c>
      <c r="AC353" s="30">
        <f>SUM(AC355:AC367)</f>
        <v>0</v>
      </c>
      <c r="AD353" s="30">
        <f>SUM(AD355:AD366)</f>
        <v>0</v>
      </c>
      <c r="AE353" s="30"/>
      <c r="AF353" s="30">
        <f t="shared" ref="AF353:AL353" si="174">SUM(AF355:AF367)</f>
        <v>0</v>
      </c>
      <c r="AG353" s="30">
        <f t="shared" si="174"/>
        <v>0</v>
      </c>
      <c r="AH353" s="30">
        <f t="shared" si="174"/>
        <v>0</v>
      </c>
      <c r="AI353" s="30">
        <f t="shared" si="174"/>
        <v>0</v>
      </c>
      <c r="AJ353" s="30">
        <f t="shared" si="174"/>
        <v>0</v>
      </c>
      <c r="AK353" s="30">
        <f t="shared" si="174"/>
        <v>0</v>
      </c>
      <c r="AL353" s="30">
        <f t="shared" si="174"/>
        <v>0</v>
      </c>
      <c r="AM353" s="30"/>
      <c r="AN353" s="30">
        <f>SUM(AN354:AN367)</f>
        <v>9</v>
      </c>
      <c r="AO353" s="30">
        <f>SUM(AO354:AO367)</f>
        <v>22.5</v>
      </c>
      <c r="AP353" s="30">
        <f>SUM(AP355:AP367)</f>
        <v>10</v>
      </c>
      <c r="AQ353" s="30">
        <f>SUM(AQ355:AQ366)</f>
        <v>2.8500000000000005</v>
      </c>
    </row>
    <row r="354" spans="1:43" s="3" customFormat="1">
      <c r="A354" s="36" t="s">
        <v>21</v>
      </c>
      <c r="B354" s="14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4">
        <f t="shared" ref="M354:M367" si="175">ROUND((L354)*0.202,3)</f>
        <v>0</v>
      </c>
      <c r="N354" s="21">
        <f t="shared" ref="N354:N367" si="176">ROUND((L354)*1.0457,3)</f>
        <v>0</v>
      </c>
      <c r="O354" s="6"/>
      <c r="P354" s="10">
        <f t="shared" ref="P354:P367" si="177">SUM(K354:O354)</f>
        <v>0</v>
      </c>
      <c r="Q354" s="6">
        <v>1</v>
      </c>
      <c r="R354" s="6">
        <v>2.5</v>
      </c>
      <c r="S354" s="6"/>
      <c r="T354" s="10"/>
      <c r="U354" s="6"/>
      <c r="V354" s="6"/>
      <c r="W354" s="6"/>
      <c r="X354" s="10"/>
      <c r="Y354" s="6"/>
      <c r="Z354" s="10"/>
      <c r="AA354" s="6"/>
      <c r="AB354" s="10"/>
      <c r="AC354" s="6"/>
      <c r="AD354" s="10"/>
      <c r="AE354" s="6"/>
      <c r="AF354" s="6"/>
      <c r="AG354" s="6"/>
      <c r="AH354" s="6"/>
      <c r="AI354" s="4">
        <f t="shared" ref="AI354:AI367" si="178">ROUND((AH354)*0.202,3)</f>
        <v>0</v>
      </c>
      <c r="AJ354" s="21">
        <f t="shared" ref="AJ354:AJ367" si="179">ROUND((AH354)*1.0457,3)</f>
        <v>0</v>
      </c>
      <c r="AK354" s="6"/>
      <c r="AL354" s="10">
        <f t="shared" ref="AL354:AL367" si="180">SUM(AG354:AK354)</f>
        <v>0</v>
      </c>
      <c r="AM354" s="10"/>
      <c r="AN354" s="6">
        <v>1</v>
      </c>
      <c r="AO354" s="6">
        <v>2.5</v>
      </c>
      <c r="AP354" s="6">
        <f>S354</f>
        <v>0</v>
      </c>
      <c r="AQ354" s="6">
        <f>T354</f>
        <v>0</v>
      </c>
    </row>
    <row r="355" spans="1:43">
      <c r="A355" s="37" t="s">
        <v>138</v>
      </c>
      <c r="B355" s="14"/>
      <c r="C355" s="6"/>
      <c r="D355" s="6"/>
      <c r="E355" s="6">
        <v>1</v>
      </c>
      <c r="F355" s="6">
        <v>0.14000000000000001</v>
      </c>
      <c r="G355" s="6"/>
      <c r="H355" s="6"/>
      <c r="I355" s="6"/>
      <c r="J355" s="6"/>
      <c r="K355" s="6"/>
      <c r="L355" s="6">
        <v>6.9000000000000006E-2</v>
      </c>
      <c r="M355" s="4">
        <f t="shared" si="175"/>
        <v>1.4E-2</v>
      </c>
      <c r="N355" s="21">
        <f t="shared" si="176"/>
        <v>7.1999999999999995E-2</v>
      </c>
      <c r="O355" s="6"/>
      <c r="P355" s="10">
        <f t="shared" si="177"/>
        <v>0.155</v>
      </c>
      <c r="Q355" s="6"/>
      <c r="R355" s="6"/>
      <c r="S355" s="6">
        <f>I355+E355</f>
        <v>1</v>
      </c>
      <c r="T355" s="10">
        <f t="shared" ref="T355:T363" si="181">P355</f>
        <v>0.155</v>
      </c>
      <c r="U355" s="6"/>
      <c r="V355" s="6"/>
      <c r="W355" s="6"/>
      <c r="X355" s="10"/>
      <c r="Y355" s="6"/>
      <c r="Z355" s="10"/>
      <c r="AA355" s="6"/>
      <c r="AB355" s="10"/>
      <c r="AC355" s="6"/>
      <c r="AD355" s="10"/>
      <c r="AE355" s="6"/>
      <c r="AF355" s="6"/>
      <c r="AG355" s="6"/>
      <c r="AH355" s="6"/>
      <c r="AI355" s="4">
        <f t="shared" si="178"/>
        <v>0</v>
      </c>
      <c r="AJ355" s="21">
        <f t="shared" si="179"/>
        <v>0</v>
      </c>
      <c r="AK355" s="6"/>
      <c r="AL355" s="10">
        <f t="shared" si="180"/>
        <v>0</v>
      </c>
      <c r="AM355" s="10"/>
      <c r="AN355" s="6">
        <v>0</v>
      </c>
      <c r="AO355" s="6">
        <v>0</v>
      </c>
      <c r="AP355" s="6">
        <f t="shared" ref="AP355:AQ366" si="182">S355</f>
        <v>1</v>
      </c>
      <c r="AQ355" s="6">
        <f t="shared" si="182"/>
        <v>0.155</v>
      </c>
    </row>
    <row r="356" spans="1:43">
      <c r="A356" s="37" t="s">
        <v>139</v>
      </c>
      <c r="B356" s="14"/>
      <c r="C356" s="6"/>
      <c r="D356" s="6"/>
      <c r="E356" s="6"/>
      <c r="F356" s="6"/>
      <c r="G356" s="6"/>
      <c r="H356" s="6"/>
      <c r="I356" s="6">
        <v>1</v>
      </c>
      <c r="J356" s="6">
        <v>0.79800000000000004</v>
      </c>
      <c r="K356" s="6">
        <v>8.0000000000000002E-3</v>
      </c>
      <c r="L356" s="6">
        <v>0.38400000000000001</v>
      </c>
      <c r="M356" s="4">
        <f t="shared" si="175"/>
        <v>7.8E-2</v>
      </c>
      <c r="N356" s="21">
        <f t="shared" si="176"/>
        <v>0.40200000000000002</v>
      </c>
      <c r="O356" s="6">
        <v>1.6E-2</v>
      </c>
      <c r="P356" s="10">
        <f t="shared" si="177"/>
        <v>0.88800000000000012</v>
      </c>
      <c r="Q356" s="6"/>
      <c r="R356" s="6"/>
      <c r="S356" s="6">
        <f>I356+E356</f>
        <v>1</v>
      </c>
      <c r="T356" s="10">
        <f t="shared" si="181"/>
        <v>0.88800000000000012</v>
      </c>
      <c r="U356" s="6"/>
      <c r="V356" s="6"/>
      <c r="W356" s="6"/>
      <c r="X356" s="10"/>
      <c r="Y356" s="6"/>
      <c r="Z356" s="10"/>
      <c r="AA356" s="6"/>
      <c r="AB356" s="10"/>
      <c r="AC356" s="6"/>
      <c r="AD356" s="10"/>
      <c r="AE356" s="6"/>
      <c r="AF356" s="6"/>
      <c r="AG356" s="6"/>
      <c r="AH356" s="6"/>
      <c r="AI356" s="4">
        <f t="shared" si="178"/>
        <v>0</v>
      </c>
      <c r="AJ356" s="21">
        <f t="shared" si="179"/>
        <v>0</v>
      </c>
      <c r="AK356" s="6"/>
      <c r="AL356" s="10">
        <f t="shared" si="180"/>
        <v>0</v>
      </c>
      <c r="AM356" s="10"/>
      <c r="AN356" s="6">
        <v>0</v>
      </c>
      <c r="AO356" s="6">
        <v>0</v>
      </c>
      <c r="AP356" s="6">
        <f t="shared" si="182"/>
        <v>1</v>
      </c>
      <c r="AQ356" s="6">
        <f t="shared" si="182"/>
        <v>0.88800000000000012</v>
      </c>
    </row>
    <row r="357" spans="1:43">
      <c r="A357" s="37" t="s">
        <v>120</v>
      </c>
      <c r="B357" s="14"/>
      <c r="C357" s="6"/>
      <c r="D357" s="6"/>
      <c r="E357" s="6">
        <v>1</v>
      </c>
      <c r="F357" s="6">
        <v>0.14000000000000001</v>
      </c>
      <c r="G357" s="6"/>
      <c r="H357" s="6"/>
      <c r="I357" s="6"/>
      <c r="J357" s="6"/>
      <c r="K357" s="6"/>
      <c r="L357" s="6">
        <v>6.9000000000000006E-2</v>
      </c>
      <c r="M357" s="4">
        <f t="shared" si="175"/>
        <v>1.4E-2</v>
      </c>
      <c r="N357" s="21">
        <f t="shared" si="176"/>
        <v>7.1999999999999995E-2</v>
      </c>
      <c r="O357" s="6"/>
      <c r="P357" s="10">
        <f t="shared" si="177"/>
        <v>0.155</v>
      </c>
      <c r="Q357" s="6"/>
      <c r="R357" s="6"/>
      <c r="S357" s="6">
        <f>I357+E357</f>
        <v>1</v>
      </c>
      <c r="T357" s="10">
        <f t="shared" si="181"/>
        <v>0.155</v>
      </c>
      <c r="U357" s="6"/>
      <c r="V357" s="6"/>
      <c r="W357" s="6"/>
      <c r="X357" s="10"/>
      <c r="Y357" s="6"/>
      <c r="Z357" s="10"/>
      <c r="AA357" s="6"/>
      <c r="AB357" s="10"/>
      <c r="AC357" s="6"/>
      <c r="AD357" s="10"/>
      <c r="AE357" s="6"/>
      <c r="AF357" s="6"/>
      <c r="AG357" s="6"/>
      <c r="AH357" s="6"/>
      <c r="AI357" s="4">
        <f t="shared" si="178"/>
        <v>0</v>
      </c>
      <c r="AJ357" s="21">
        <f t="shared" si="179"/>
        <v>0</v>
      </c>
      <c r="AK357" s="6"/>
      <c r="AL357" s="10">
        <f t="shared" si="180"/>
        <v>0</v>
      </c>
      <c r="AM357" s="10"/>
      <c r="AN357" s="6">
        <v>0</v>
      </c>
      <c r="AO357" s="6">
        <v>0</v>
      </c>
      <c r="AP357" s="6">
        <f t="shared" si="182"/>
        <v>1</v>
      </c>
      <c r="AQ357" s="6">
        <f t="shared" si="182"/>
        <v>0.155</v>
      </c>
    </row>
    <row r="358" spans="1:43">
      <c r="A358" s="37" t="s">
        <v>47</v>
      </c>
      <c r="B358" s="14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4">
        <f t="shared" si="175"/>
        <v>0</v>
      </c>
      <c r="N358" s="21">
        <f t="shared" si="176"/>
        <v>0</v>
      </c>
      <c r="O358" s="6"/>
      <c r="P358" s="10">
        <f t="shared" si="177"/>
        <v>0</v>
      </c>
      <c r="Q358" s="6">
        <v>1</v>
      </c>
      <c r="R358" s="6">
        <v>2.5</v>
      </c>
      <c r="S358" s="6"/>
      <c r="T358" s="10">
        <f t="shared" si="181"/>
        <v>0</v>
      </c>
      <c r="U358" s="6"/>
      <c r="V358" s="6"/>
      <c r="W358" s="6"/>
      <c r="X358" s="10"/>
      <c r="Y358" s="6"/>
      <c r="Z358" s="10"/>
      <c r="AA358" s="6"/>
      <c r="AB358" s="10"/>
      <c r="AC358" s="6"/>
      <c r="AD358" s="10"/>
      <c r="AE358" s="6"/>
      <c r="AF358" s="6"/>
      <c r="AG358" s="6"/>
      <c r="AH358" s="6"/>
      <c r="AI358" s="4">
        <f t="shared" si="178"/>
        <v>0</v>
      </c>
      <c r="AJ358" s="21">
        <f t="shared" si="179"/>
        <v>0</v>
      </c>
      <c r="AK358" s="6"/>
      <c r="AL358" s="10">
        <f t="shared" si="180"/>
        <v>0</v>
      </c>
      <c r="AM358" s="10"/>
      <c r="AN358" s="6">
        <v>1</v>
      </c>
      <c r="AO358" s="6">
        <v>2.5</v>
      </c>
      <c r="AP358" s="6">
        <v>0</v>
      </c>
      <c r="AQ358" s="6">
        <v>0</v>
      </c>
    </row>
    <row r="359" spans="1:43">
      <c r="A359" s="37" t="s">
        <v>122</v>
      </c>
      <c r="B359" s="14"/>
      <c r="C359" s="6"/>
      <c r="D359" s="6"/>
      <c r="E359" s="6"/>
      <c r="F359" s="6"/>
      <c r="G359" s="6"/>
      <c r="H359" s="6"/>
      <c r="I359" s="6">
        <v>1</v>
      </c>
      <c r="J359" s="6">
        <v>0.17899999999999999</v>
      </c>
      <c r="K359" s="6"/>
      <c r="L359" s="6">
        <v>8.7999999999999995E-2</v>
      </c>
      <c r="M359" s="4">
        <f t="shared" si="175"/>
        <v>1.7999999999999999E-2</v>
      </c>
      <c r="N359" s="21">
        <f t="shared" si="176"/>
        <v>9.1999999999999998E-2</v>
      </c>
      <c r="O359" s="6">
        <v>1E-3</v>
      </c>
      <c r="P359" s="10">
        <f t="shared" si="177"/>
        <v>0.19900000000000001</v>
      </c>
      <c r="Q359" s="6">
        <v>1</v>
      </c>
      <c r="R359" s="6">
        <v>2.5</v>
      </c>
      <c r="S359" s="6">
        <f t="shared" ref="S359:S364" si="183">I359+E359</f>
        <v>1</v>
      </c>
      <c r="T359" s="10">
        <f t="shared" si="181"/>
        <v>0.19900000000000001</v>
      </c>
      <c r="U359" s="6"/>
      <c r="V359" s="6"/>
      <c r="W359" s="6"/>
      <c r="X359" s="10"/>
      <c r="Y359" s="6"/>
      <c r="Z359" s="10"/>
      <c r="AA359" s="6"/>
      <c r="AB359" s="10"/>
      <c r="AC359" s="6"/>
      <c r="AD359" s="10"/>
      <c r="AE359" s="6"/>
      <c r="AF359" s="6"/>
      <c r="AG359" s="6"/>
      <c r="AH359" s="6"/>
      <c r="AI359" s="4">
        <f t="shared" si="178"/>
        <v>0</v>
      </c>
      <c r="AJ359" s="21">
        <f t="shared" si="179"/>
        <v>0</v>
      </c>
      <c r="AK359" s="6"/>
      <c r="AL359" s="10">
        <f t="shared" si="180"/>
        <v>0</v>
      </c>
      <c r="AM359" s="10"/>
      <c r="AN359" s="6">
        <v>1</v>
      </c>
      <c r="AO359" s="6">
        <v>2.5</v>
      </c>
      <c r="AP359" s="6">
        <f t="shared" si="182"/>
        <v>1</v>
      </c>
      <c r="AQ359" s="6">
        <f t="shared" si="182"/>
        <v>0.19900000000000001</v>
      </c>
    </row>
    <row r="360" spans="1:43">
      <c r="A360" s="37" t="s">
        <v>127</v>
      </c>
      <c r="B360" s="14"/>
      <c r="C360" s="6"/>
      <c r="D360" s="6"/>
      <c r="E360" s="6">
        <v>1</v>
      </c>
      <c r="F360" s="6">
        <v>0.14000000000000001</v>
      </c>
      <c r="G360" s="6"/>
      <c r="H360" s="6"/>
      <c r="I360" s="6"/>
      <c r="J360" s="6"/>
      <c r="K360" s="6"/>
      <c r="L360" s="6">
        <v>6.9000000000000006E-2</v>
      </c>
      <c r="M360" s="4">
        <f t="shared" si="175"/>
        <v>1.4E-2</v>
      </c>
      <c r="N360" s="21">
        <f t="shared" si="176"/>
        <v>7.1999999999999995E-2</v>
      </c>
      <c r="O360" s="6"/>
      <c r="P360" s="10">
        <f t="shared" si="177"/>
        <v>0.155</v>
      </c>
      <c r="Q360" s="6"/>
      <c r="R360" s="6"/>
      <c r="S360" s="6">
        <f t="shared" si="183"/>
        <v>1</v>
      </c>
      <c r="T360" s="10">
        <f t="shared" si="181"/>
        <v>0.155</v>
      </c>
      <c r="U360" s="6"/>
      <c r="V360" s="6"/>
      <c r="W360" s="6"/>
      <c r="X360" s="10"/>
      <c r="Y360" s="6"/>
      <c r="Z360" s="10"/>
      <c r="AA360" s="6"/>
      <c r="AB360" s="10"/>
      <c r="AC360" s="6"/>
      <c r="AD360" s="10"/>
      <c r="AE360" s="6"/>
      <c r="AF360" s="6"/>
      <c r="AG360" s="6"/>
      <c r="AH360" s="6"/>
      <c r="AI360" s="4">
        <f t="shared" si="178"/>
        <v>0</v>
      </c>
      <c r="AJ360" s="21">
        <f t="shared" si="179"/>
        <v>0</v>
      </c>
      <c r="AK360" s="6"/>
      <c r="AL360" s="10">
        <f t="shared" si="180"/>
        <v>0</v>
      </c>
      <c r="AM360" s="10"/>
      <c r="AN360" s="6">
        <v>0</v>
      </c>
      <c r="AO360" s="6">
        <v>0</v>
      </c>
      <c r="AP360" s="6">
        <f t="shared" si="182"/>
        <v>1</v>
      </c>
      <c r="AQ360" s="6">
        <f t="shared" si="182"/>
        <v>0.155</v>
      </c>
    </row>
    <row r="361" spans="1:43">
      <c r="A361" s="37" t="s">
        <v>51</v>
      </c>
      <c r="B361" s="14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4">
        <f t="shared" si="175"/>
        <v>0</v>
      </c>
      <c r="N361" s="21">
        <f t="shared" si="176"/>
        <v>0</v>
      </c>
      <c r="O361" s="6"/>
      <c r="P361" s="10">
        <f t="shared" si="177"/>
        <v>0</v>
      </c>
      <c r="Q361" s="6">
        <v>1</v>
      </c>
      <c r="R361" s="6">
        <v>2.5</v>
      </c>
      <c r="S361" s="6">
        <f t="shared" si="183"/>
        <v>0</v>
      </c>
      <c r="T361" s="10">
        <f t="shared" si="181"/>
        <v>0</v>
      </c>
      <c r="U361" s="6"/>
      <c r="V361" s="6"/>
      <c r="W361" s="6"/>
      <c r="X361" s="10"/>
      <c r="Y361" s="6"/>
      <c r="Z361" s="10"/>
      <c r="AA361" s="6"/>
      <c r="AB361" s="10"/>
      <c r="AC361" s="6"/>
      <c r="AD361" s="10"/>
      <c r="AE361" s="6"/>
      <c r="AF361" s="6"/>
      <c r="AG361" s="6"/>
      <c r="AH361" s="6"/>
      <c r="AI361" s="4">
        <f t="shared" si="178"/>
        <v>0</v>
      </c>
      <c r="AJ361" s="21">
        <f t="shared" si="179"/>
        <v>0</v>
      </c>
      <c r="AK361" s="6"/>
      <c r="AL361" s="10">
        <f t="shared" si="180"/>
        <v>0</v>
      </c>
      <c r="AM361" s="10"/>
      <c r="AN361" s="6">
        <v>1</v>
      </c>
      <c r="AO361" s="6">
        <v>2.5</v>
      </c>
      <c r="AP361" s="6">
        <v>0</v>
      </c>
      <c r="AQ361" s="6">
        <v>0</v>
      </c>
    </row>
    <row r="362" spans="1:43">
      <c r="A362" s="37" t="s">
        <v>125</v>
      </c>
      <c r="B362" s="14"/>
      <c r="C362" s="6"/>
      <c r="D362" s="6"/>
      <c r="E362" s="6">
        <v>1</v>
      </c>
      <c r="F362" s="6">
        <v>0.14000000000000001</v>
      </c>
      <c r="G362" s="6"/>
      <c r="H362" s="6"/>
      <c r="I362" s="6"/>
      <c r="J362" s="6"/>
      <c r="K362" s="6"/>
      <c r="L362" s="6">
        <v>6.9000000000000006E-2</v>
      </c>
      <c r="M362" s="4">
        <f t="shared" si="175"/>
        <v>1.4E-2</v>
      </c>
      <c r="N362" s="21">
        <f t="shared" si="176"/>
        <v>7.1999999999999995E-2</v>
      </c>
      <c r="O362" s="6"/>
      <c r="P362" s="10">
        <f t="shared" si="177"/>
        <v>0.155</v>
      </c>
      <c r="Q362" s="6">
        <v>1</v>
      </c>
      <c r="R362" s="6">
        <v>2.5</v>
      </c>
      <c r="S362" s="6">
        <f t="shared" si="183"/>
        <v>1</v>
      </c>
      <c r="T362" s="10">
        <f t="shared" si="181"/>
        <v>0.155</v>
      </c>
      <c r="U362" s="6"/>
      <c r="V362" s="6"/>
      <c r="W362" s="6"/>
      <c r="X362" s="10"/>
      <c r="Y362" s="6"/>
      <c r="Z362" s="10"/>
      <c r="AA362" s="6"/>
      <c r="AB362" s="10"/>
      <c r="AC362" s="6"/>
      <c r="AD362" s="10"/>
      <c r="AE362" s="6"/>
      <c r="AF362" s="6"/>
      <c r="AG362" s="6"/>
      <c r="AH362" s="6"/>
      <c r="AI362" s="4">
        <f t="shared" si="178"/>
        <v>0</v>
      </c>
      <c r="AJ362" s="21">
        <f t="shared" si="179"/>
        <v>0</v>
      </c>
      <c r="AK362" s="6"/>
      <c r="AL362" s="10">
        <f t="shared" si="180"/>
        <v>0</v>
      </c>
      <c r="AM362" s="10"/>
      <c r="AN362" s="6">
        <v>1</v>
      </c>
      <c r="AO362" s="6">
        <v>2.5</v>
      </c>
      <c r="AP362" s="6">
        <f t="shared" si="182"/>
        <v>1</v>
      </c>
      <c r="AQ362" s="6">
        <f t="shared" si="182"/>
        <v>0.155</v>
      </c>
    </row>
    <row r="363" spans="1:43">
      <c r="A363" s="37" t="s">
        <v>128</v>
      </c>
      <c r="B363" s="14"/>
      <c r="C363" s="6"/>
      <c r="D363" s="6"/>
      <c r="E363" s="6">
        <v>1</v>
      </c>
      <c r="F363" s="6">
        <v>0.14000000000000001</v>
      </c>
      <c r="G363" s="6"/>
      <c r="H363" s="6"/>
      <c r="I363" s="6"/>
      <c r="J363" s="6"/>
      <c r="K363" s="6"/>
      <c r="L363" s="6">
        <v>6.9000000000000006E-2</v>
      </c>
      <c r="M363" s="4">
        <f t="shared" si="175"/>
        <v>1.4E-2</v>
      </c>
      <c r="N363" s="21">
        <f t="shared" si="176"/>
        <v>7.1999999999999995E-2</v>
      </c>
      <c r="O363" s="6"/>
      <c r="P363" s="10">
        <f t="shared" si="177"/>
        <v>0.155</v>
      </c>
      <c r="Q363" s="6">
        <v>1</v>
      </c>
      <c r="R363" s="6">
        <v>2.5</v>
      </c>
      <c r="S363" s="6">
        <f t="shared" si="183"/>
        <v>1</v>
      </c>
      <c r="T363" s="10">
        <f t="shared" si="181"/>
        <v>0.155</v>
      </c>
      <c r="U363" s="6"/>
      <c r="V363" s="6"/>
      <c r="W363" s="6"/>
      <c r="X363" s="10"/>
      <c r="Y363" s="6"/>
      <c r="Z363" s="10"/>
      <c r="AA363" s="6"/>
      <c r="AB363" s="10"/>
      <c r="AC363" s="6"/>
      <c r="AD363" s="10"/>
      <c r="AE363" s="6"/>
      <c r="AF363" s="6"/>
      <c r="AG363" s="6"/>
      <c r="AH363" s="6"/>
      <c r="AI363" s="4">
        <f t="shared" si="178"/>
        <v>0</v>
      </c>
      <c r="AJ363" s="21">
        <f t="shared" si="179"/>
        <v>0</v>
      </c>
      <c r="AK363" s="6"/>
      <c r="AL363" s="10">
        <f t="shared" si="180"/>
        <v>0</v>
      </c>
      <c r="AM363" s="10"/>
      <c r="AN363" s="6">
        <v>1</v>
      </c>
      <c r="AO363" s="6">
        <v>2.5</v>
      </c>
      <c r="AP363" s="6">
        <f t="shared" si="182"/>
        <v>1</v>
      </c>
      <c r="AQ363" s="6">
        <f t="shared" si="182"/>
        <v>0.155</v>
      </c>
    </row>
    <row r="364" spans="1:43">
      <c r="A364" s="37" t="s">
        <v>53</v>
      </c>
      <c r="B364" s="14"/>
      <c r="C364" s="6"/>
      <c r="D364" s="6"/>
      <c r="E364" s="6">
        <v>1</v>
      </c>
      <c r="F364" s="6">
        <v>0.1</v>
      </c>
      <c r="G364" s="6"/>
      <c r="H364" s="6"/>
      <c r="I364" s="6"/>
      <c r="J364" s="6"/>
      <c r="K364" s="6"/>
      <c r="L364" s="6"/>
      <c r="M364" s="4">
        <f t="shared" si="175"/>
        <v>0</v>
      </c>
      <c r="N364" s="21">
        <f t="shared" si="176"/>
        <v>0</v>
      </c>
      <c r="O364" s="6"/>
      <c r="P364" s="10">
        <f t="shared" si="177"/>
        <v>0</v>
      </c>
      <c r="Q364" s="6"/>
      <c r="R364" s="6"/>
      <c r="S364" s="6">
        <f t="shared" si="183"/>
        <v>1</v>
      </c>
      <c r="T364" s="10">
        <v>0.1</v>
      </c>
      <c r="U364" s="6"/>
      <c r="V364" s="6"/>
      <c r="W364" s="6"/>
      <c r="X364" s="10"/>
      <c r="Y364" s="6"/>
      <c r="Z364" s="10"/>
      <c r="AA364" s="6"/>
      <c r="AB364" s="10"/>
      <c r="AC364" s="6"/>
      <c r="AD364" s="10"/>
      <c r="AE364" s="6"/>
      <c r="AF364" s="6"/>
      <c r="AG364" s="6"/>
      <c r="AH364" s="6"/>
      <c r="AI364" s="4">
        <f t="shared" si="178"/>
        <v>0</v>
      </c>
      <c r="AJ364" s="21">
        <f t="shared" si="179"/>
        <v>0</v>
      </c>
      <c r="AK364" s="6"/>
      <c r="AL364" s="10">
        <f t="shared" si="180"/>
        <v>0</v>
      </c>
      <c r="AM364" s="10"/>
      <c r="AN364" s="6">
        <v>0</v>
      </c>
      <c r="AO364" s="6">
        <v>0</v>
      </c>
      <c r="AP364" s="6">
        <f t="shared" si="182"/>
        <v>1</v>
      </c>
      <c r="AQ364" s="6">
        <f t="shared" si="182"/>
        <v>0.1</v>
      </c>
    </row>
    <row r="365" spans="1:43">
      <c r="A365" s="37" t="s">
        <v>54</v>
      </c>
      <c r="B365" s="14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4">
        <f t="shared" si="175"/>
        <v>0</v>
      </c>
      <c r="N365" s="21">
        <f t="shared" si="176"/>
        <v>0</v>
      </c>
      <c r="O365" s="6"/>
      <c r="P365" s="10">
        <f t="shared" si="177"/>
        <v>0</v>
      </c>
      <c r="Q365" s="6">
        <v>1</v>
      </c>
      <c r="R365" s="6">
        <v>2.5</v>
      </c>
      <c r="S365" s="6"/>
      <c r="T365" s="10">
        <f>P365</f>
        <v>0</v>
      </c>
      <c r="U365" s="6"/>
      <c r="V365" s="6"/>
      <c r="W365" s="6"/>
      <c r="X365" s="10"/>
      <c r="Y365" s="6"/>
      <c r="Z365" s="10"/>
      <c r="AA365" s="6"/>
      <c r="AB365" s="10"/>
      <c r="AC365" s="6"/>
      <c r="AD365" s="10"/>
      <c r="AE365" s="6"/>
      <c r="AF365" s="6"/>
      <c r="AG365" s="6"/>
      <c r="AH365" s="6"/>
      <c r="AI365" s="4">
        <f t="shared" si="178"/>
        <v>0</v>
      </c>
      <c r="AJ365" s="21">
        <f t="shared" si="179"/>
        <v>0</v>
      </c>
      <c r="AK365" s="6"/>
      <c r="AL365" s="10">
        <f t="shared" si="180"/>
        <v>0</v>
      </c>
      <c r="AM365" s="10"/>
      <c r="AN365" s="6">
        <v>1</v>
      </c>
      <c r="AO365" s="6">
        <v>2.5</v>
      </c>
      <c r="AP365" s="6">
        <v>0</v>
      </c>
      <c r="AQ365" s="6">
        <v>0</v>
      </c>
    </row>
    <row r="366" spans="1:43">
      <c r="A366" s="37" t="s">
        <v>136</v>
      </c>
      <c r="B366" s="14"/>
      <c r="C366" s="6"/>
      <c r="D366" s="6"/>
      <c r="E366" s="6">
        <v>1</v>
      </c>
      <c r="F366" s="6"/>
      <c r="G366" s="6"/>
      <c r="H366" s="6"/>
      <c r="I366" s="6">
        <v>1</v>
      </c>
      <c r="J366" s="6">
        <v>0.79800000000000004</v>
      </c>
      <c r="K366" s="6">
        <v>8.0000000000000002E-3</v>
      </c>
      <c r="L366" s="6">
        <v>0.38400000000000001</v>
      </c>
      <c r="M366" s="4">
        <f t="shared" si="175"/>
        <v>7.8E-2</v>
      </c>
      <c r="N366" s="21">
        <f t="shared" si="176"/>
        <v>0.40200000000000002</v>
      </c>
      <c r="O366" s="6">
        <v>1.6E-2</v>
      </c>
      <c r="P366" s="10">
        <f t="shared" si="177"/>
        <v>0.88800000000000012</v>
      </c>
      <c r="Q366" s="6">
        <v>1</v>
      </c>
      <c r="R366" s="6">
        <v>2.5</v>
      </c>
      <c r="S366" s="6">
        <f>I366+E366</f>
        <v>2</v>
      </c>
      <c r="T366" s="10">
        <f>P366</f>
        <v>0.88800000000000012</v>
      </c>
      <c r="U366" s="6"/>
      <c r="V366" s="6"/>
      <c r="W366" s="6"/>
      <c r="X366" s="6"/>
      <c r="Y366" s="6"/>
      <c r="Z366" s="6"/>
      <c r="AA366" s="6"/>
      <c r="AB366" s="6"/>
      <c r="AC366" s="6"/>
      <c r="AD366" s="10"/>
      <c r="AE366" s="6" t="s">
        <v>81</v>
      </c>
      <c r="AF366" s="6"/>
      <c r="AG366" s="6"/>
      <c r="AH366" s="6"/>
      <c r="AI366" s="4">
        <f t="shared" si="178"/>
        <v>0</v>
      </c>
      <c r="AJ366" s="21">
        <f t="shared" si="179"/>
        <v>0</v>
      </c>
      <c r="AK366" s="6"/>
      <c r="AL366" s="10">
        <f t="shared" si="180"/>
        <v>0</v>
      </c>
      <c r="AM366" s="10"/>
      <c r="AN366" s="6">
        <v>1</v>
      </c>
      <c r="AO366" s="6">
        <v>2.5</v>
      </c>
      <c r="AP366" s="6">
        <f t="shared" si="182"/>
        <v>2</v>
      </c>
      <c r="AQ366" s="6">
        <f t="shared" si="182"/>
        <v>0.88800000000000012</v>
      </c>
    </row>
    <row r="367" spans="1:43">
      <c r="A367" s="37" t="s">
        <v>29</v>
      </c>
      <c r="B367" s="14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4">
        <f t="shared" si="175"/>
        <v>0</v>
      </c>
      <c r="N367" s="21">
        <f t="shared" si="176"/>
        <v>0</v>
      </c>
      <c r="O367" s="6"/>
      <c r="P367" s="10">
        <f t="shared" si="177"/>
        <v>0</v>
      </c>
      <c r="Q367" s="6">
        <v>1</v>
      </c>
      <c r="R367" s="6">
        <v>2.5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4">
        <f t="shared" si="178"/>
        <v>0</v>
      </c>
      <c r="AJ367" s="21">
        <f t="shared" si="179"/>
        <v>0</v>
      </c>
      <c r="AK367" s="6"/>
      <c r="AL367" s="10">
        <f t="shared" si="180"/>
        <v>0</v>
      </c>
      <c r="AM367" s="10"/>
      <c r="AN367" s="6">
        <v>1</v>
      </c>
      <c r="AO367" s="6">
        <v>2.5</v>
      </c>
      <c r="AP367" s="6">
        <v>0</v>
      </c>
      <c r="AQ367" s="6">
        <v>0</v>
      </c>
    </row>
    <row r="368" spans="1:43" ht="12">
      <c r="A368" s="39" t="s">
        <v>82</v>
      </c>
      <c r="B368" s="33"/>
      <c r="C368" s="30"/>
      <c r="D368" s="30"/>
      <c r="E368" s="30"/>
      <c r="F368" s="30"/>
      <c r="G368" s="30"/>
      <c r="H368" s="30"/>
      <c r="I368" s="30">
        <f>SUM(I369:I373)</f>
        <v>2</v>
      </c>
      <c r="J368" s="30">
        <f>SUM(J369:J373)</f>
        <v>700</v>
      </c>
      <c r="K368" s="30"/>
      <c r="L368" s="30"/>
      <c r="M368" s="30"/>
      <c r="N368" s="30"/>
      <c r="O368" s="30"/>
      <c r="P368" s="30"/>
      <c r="Q368" s="30">
        <v>4</v>
      </c>
      <c r="R368" s="30">
        <v>900</v>
      </c>
      <c r="S368" s="30">
        <f>SUM(S369:S373)</f>
        <v>2</v>
      </c>
      <c r="T368" s="30">
        <f>SUM(T369:T373)</f>
        <v>700</v>
      </c>
      <c r="U368" s="30"/>
      <c r="V368" s="30"/>
      <c r="W368" s="30">
        <f t="shared" ref="W368:AB368" si="184">SUM(W369:W373)</f>
        <v>0</v>
      </c>
      <c r="X368" s="30">
        <f t="shared" si="184"/>
        <v>0</v>
      </c>
      <c r="Y368" s="30">
        <f t="shared" si="184"/>
        <v>2</v>
      </c>
      <c r="Z368" s="30">
        <f t="shared" si="184"/>
        <v>500</v>
      </c>
      <c r="AA368" s="30">
        <f t="shared" si="184"/>
        <v>2</v>
      </c>
      <c r="AB368" s="30">
        <f t="shared" si="184"/>
        <v>500</v>
      </c>
      <c r="AC368" s="30">
        <f>SUM(AC369:AC373)</f>
        <v>0</v>
      </c>
      <c r="AD368" s="30">
        <f>SUM(AD369:AD373)</f>
        <v>0</v>
      </c>
      <c r="AE368" s="30"/>
      <c r="AF368" s="30">
        <f>SUM(AF369:AF373)</f>
        <v>2</v>
      </c>
      <c r="AG368" s="30"/>
      <c r="AH368" s="30"/>
      <c r="AI368" s="30"/>
      <c r="AJ368" s="30"/>
      <c r="AK368" s="30"/>
      <c r="AL368" s="30"/>
      <c r="AM368" s="30"/>
      <c r="AN368" s="30">
        <v>12</v>
      </c>
      <c r="AO368" s="49">
        <v>2400</v>
      </c>
      <c r="AP368" s="30">
        <f>SUM(AP369:AP373)-AP370</f>
        <v>4</v>
      </c>
      <c r="AQ368" s="30">
        <f>SUM(AQ369:AQ373)-AQ370</f>
        <v>1200.174</v>
      </c>
    </row>
    <row r="369" spans="1:43" ht="12">
      <c r="A369" s="37" t="s">
        <v>132</v>
      </c>
      <c r="B369" s="14"/>
      <c r="C369" s="6"/>
      <c r="D369" s="6"/>
      <c r="E369" s="6"/>
      <c r="F369" s="6"/>
      <c r="G369" s="6"/>
      <c r="H369" s="6"/>
      <c r="I369" s="6">
        <v>2</v>
      </c>
      <c r="J369" s="6">
        <v>700</v>
      </c>
      <c r="K369" s="6"/>
      <c r="L369" s="6"/>
      <c r="M369" s="6"/>
      <c r="N369" s="6"/>
      <c r="O369" s="6"/>
      <c r="P369" s="6"/>
      <c r="Q369" s="6"/>
      <c r="R369" s="6"/>
      <c r="S369" s="6">
        <f>I369+E369</f>
        <v>2</v>
      </c>
      <c r="T369" s="6">
        <f>J369+F369</f>
        <v>700</v>
      </c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>
        <v>0</v>
      </c>
      <c r="AO369" s="6">
        <v>0</v>
      </c>
      <c r="AP369" s="6">
        <f>S369</f>
        <v>2</v>
      </c>
      <c r="AQ369" s="22">
        <f>T369</f>
        <v>700</v>
      </c>
    </row>
    <row r="370" spans="1:43" s="9" customFormat="1" ht="12">
      <c r="A370" s="37" t="s">
        <v>131</v>
      </c>
      <c r="B370" s="14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>
        <v>10</v>
      </c>
      <c r="AO370" s="22">
        <v>1000</v>
      </c>
      <c r="AP370" s="6">
        <v>6</v>
      </c>
      <c r="AQ370" s="6">
        <v>200.411</v>
      </c>
    </row>
    <row r="371" spans="1:43" ht="12">
      <c r="A371" s="37" t="s">
        <v>48</v>
      </c>
      <c r="B371" s="14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>
        <v>2</v>
      </c>
      <c r="Z371" s="6">
        <v>500</v>
      </c>
      <c r="AA371" s="6">
        <v>2</v>
      </c>
      <c r="AB371" s="6">
        <v>500</v>
      </c>
      <c r="AC371" s="6"/>
      <c r="AD371" s="6"/>
      <c r="AE371" s="6"/>
      <c r="AF371" s="6">
        <v>2</v>
      </c>
      <c r="AG371" s="6"/>
      <c r="AH371" s="6"/>
      <c r="AI371" s="6"/>
      <c r="AJ371" s="6"/>
      <c r="AK371" s="6"/>
      <c r="AL371" s="6"/>
      <c r="AM371" s="6"/>
      <c r="AN371" s="6">
        <v>0</v>
      </c>
      <c r="AO371" s="6">
        <v>0</v>
      </c>
      <c r="AP371" s="6">
        <f>AF371</f>
        <v>2</v>
      </c>
      <c r="AQ371" s="6">
        <v>500.17399999999998</v>
      </c>
    </row>
    <row r="372" spans="1:43" ht="12">
      <c r="A372" s="37" t="s">
        <v>123</v>
      </c>
      <c r="B372" s="14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>
        <v>1</v>
      </c>
      <c r="AO372" s="22">
        <v>800</v>
      </c>
      <c r="AP372" s="6">
        <f t="shared" ref="AP372:AQ373" si="185">S372</f>
        <v>0</v>
      </c>
      <c r="AQ372" s="6">
        <f t="shared" si="185"/>
        <v>0</v>
      </c>
    </row>
    <row r="373" spans="1:43" ht="12">
      <c r="A373" s="37" t="s">
        <v>51</v>
      </c>
      <c r="B373" s="14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>
        <v>1</v>
      </c>
      <c r="R373" s="6">
        <v>600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>
        <v>1</v>
      </c>
      <c r="AO373" s="22">
        <v>600</v>
      </c>
      <c r="AP373" s="6">
        <f t="shared" si="185"/>
        <v>0</v>
      </c>
      <c r="AQ373" s="6">
        <f t="shared" si="185"/>
        <v>0</v>
      </c>
    </row>
    <row r="374" spans="1:43" ht="12">
      <c r="A374" s="39" t="s">
        <v>149</v>
      </c>
      <c r="B374" s="33" t="s">
        <v>17</v>
      </c>
      <c r="C374" s="30"/>
      <c r="D374" s="30"/>
      <c r="E374" s="30">
        <f>SUM(E375:E376)</f>
        <v>0</v>
      </c>
      <c r="F374" s="30">
        <f>SUM(F375:F380)</f>
        <v>0</v>
      </c>
      <c r="G374" s="30"/>
      <c r="H374" s="30"/>
      <c r="I374" s="30">
        <f>SUM(I375:I376)</f>
        <v>0</v>
      </c>
      <c r="J374" s="30">
        <f>SUM(J375:J380)</f>
        <v>0</v>
      </c>
      <c r="K374" s="30"/>
      <c r="L374" s="30"/>
      <c r="M374" s="30"/>
      <c r="N374" s="30"/>
      <c r="O374" s="30"/>
      <c r="P374" s="30"/>
      <c r="Q374" s="30"/>
      <c r="R374" s="30"/>
      <c r="S374" s="30">
        <f>SUM(S375:S376)</f>
        <v>0</v>
      </c>
      <c r="T374" s="30">
        <f>SUM(T375:T380)</f>
        <v>0</v>
      </c>
      <c r="U374" s="30"/>
      <c r="V374" s="30"/>
      <c r="W374" s="30">
        <f>SUM(W375:W378)</f>
        <v>3.2699999999999999E-3</v>
      </c>
      <c r="X374" s="30">
        <f>SUM(X375:X380)</f>
        <v>0.25</v>
      </c>
      <c r="Y374" s="30">
        <f>SUM(Y375:Y378)</f>
        <v>2.8E-3</v>
      </c>
      <c r="Z374" s="30">
        <f>SUM(Z375:Z378)</f>
        <v>0.60199999999999998</v>
      </c>
      <c r="AA374" s="30">
        <f>SUM(AA375:AA378)</f>
        <v>2.8E-3</v>
      </c>
      <c r="AB374" s="30">
        <f>SUM(AB375:AB378)</f>
        <v>0.60199999999999998</v>
      </c>
      <c r="AC374" s="30">
        <f>SUM(AC375:AC376)</f>
        <v>0</v>
      </c>
      <c r="AD374" s="30">
        <f>SUM(AD375:AD380)</f>
        <v>1.1599999999999999</v>
      </c>
      <c r="AE374" s="30"/>
      <c r="AF374" s="30">
        <f t="shared" ref="AF374:AL374" si="186">SUM(AF375:AF378)</f>
        <v>1.025E-2</v>
      </c>
      <c r="AG374" s="30">
        <f t="shared" si="186"/>
        <v>1.5570000000000002</v>
      </c>
      <c r="AH374" s="30">
        <f t="shared" si="186"/>
        <v>0.91600000000000004</v>
      </c>
      <c r="AI374" s="30">
        <f t="shared" si="186"/>
        <v>0.184</v>
      </c>
      <c r="AJ374" s="30">
        <f t="shared" si="186"/>
        <v>0.745</v>
      </c>
      <c r="AK374" s="30">
        <f t="shared" si="186"/>
        <v>0.154</v>
      </c>
      <c r="AL374" s="30">
        <f t="shared" si="186"/>
        <v>3.5569999999999999</v>
      </c>
      <c r="AM374" s="30"/>
      <c r="AN374" s="30">
        <v>0</v>
      </c>
      <c r="AO374" s="30">
        <v>0</v>
      </c>
      <c r="AP374" s="44">
        <f>SUM(AP375:AP378)</f>
        <v>1.525E-2</v>
      </c>
      <c r="AQ374" s="44">
        <f>SUM(AQ375:AQ378)</f>
        <v>5.4079999999999995</v>
      </c>
    </row>
    <row r="375" spans="1:43">
      <c r="A375" s="37" t="s">
        <v>131</v>
      </c>
      <c r="B375" s="14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>
        <v>1.57E-3</v>
      </c>
      <c r="X375" s="6">
        <v>0.2</v>
      </c>
      <c r="Y375" s="6"/>
      <c r="Z375" s="6"/>
      <c r="AA375" s="6"/>
      <c r="AB375" s="6"/>
      <c r="AC375" s="6"/>
      <c r="AD375" s="6"/>
      <c r="AE375" s="6"/>
      <c r="AF375" s="6">
        <v>1.75E-3</v>
      </c>
      <c r="AG375" s="6">
        <v>0.20300000000000001</v>
      </c>
      <c r="AH375" s="6">
        <v>0.27200000000000002</v>
      </c>
      <c r="AI375" s="4">
        <f t="shared" ref="AI375:AI377" si="187">ROUND((AH375)*0.202,3)</f>
        <v>5.5E-2</v>
      </c>
      <c r="AJ375" s="21">
        <f t="shared" ref="AJ375:AJ377" si="188">ROUND((AH375)*0.8138,3)</f>
        <v>0.221</v>
      </c>
      <c r="AK375" s="6">
        <v>3.1E-2</v>
      </c>
      <c r="AL375" s="10">
        <f t="shared" ref="AL375:AL376" si="189">SUM(AG375:AK375)</f>
        <v>0.78200000000000003</v>
      </c>
      <c r="AM375" s="6"/>
      <c r="AN375" s="6">
        <v>0</v>
      </c>
      <c r="AO375" s="6">
        <v>0</v>
      </c>
      <c r="AP375" s="6">
        <f t="shared" ref="AP375:AP378" si="190">AF375</f>
        <v>1.75E-3</v>
      </c>
      <c r="AQ375" s="10">
        <f>AL375</f>
        <v>0.78200000000000003</v>
      </c>
    </row>
    <row r="376" spans="1:43">
      <c r="A376" s="37" t="s">
        <v>142</v>
      </c>
      <c r="B376" s="14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>
        <v>2.8E-3</v>
      </c>
      <c r="Z376" s="6">
        <v>0.60199999999999998</v>
      </c>
      <c r="AA376" s="6">
        <v>2.8E-3</v>
      </c>
      <c r="AB376" s="6">
        <v>0.60199999999999998</v>
      </c>
      <c r="AC376" s="6"/>
      <c r="AD376" s="6"/>
      <c r="AE376" s="6"/>
      <c r="AF376" s="6">
        <v>2.8E-3</v>
      </c>
      <c r="AG376" s="6">
        <v>0.42499999999999999</v>
      </c>
      <c r="AH376" s="6">
        <v>0.13500000000000001</v>
      </c>
      <c r="AI376" s="4">
        <f t="shared" si="187"/>
        <v>2.7E-2</v>
      </c>
      <c r="AJ376" s="21">
        <f t="shared" si="188"/>
        <v>0.11</v>
      </c>
      <c r="AK376" s="6">
        <v>1.4999999999999999E-2</v>
      </c>
      <c r="AL376" s="10">
        <f t="shared" si="189"/>
        <v>0.71200000000000008</v>
      </c>
      <c r="AM376" s="6"/>
      <c r="AN376" s="6">
        <v>0</v>
      </c>
      <c r="AO376" s="6">
        <v>0</v>
      </c>
      <c r="AP376" s="6">
        <v>7.7999999999999996E-3</v>
      </c>
      <c r="AQ376" s="10">
        <v>2.5630000000000002</v>
      </c>
    </row>
    <row r="377" spans="1:43">
      <c r="A377" s="37" t="s">
        <v>128</v>
      </c>
      <c r="B377" s="14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>
        <v>4.0000000000000001E-3</v>
      </c>
      <c r="AD377" s="6">
        <v>1.1599999999999999</v>
      </c>
      <c r="AE377" s="6"/>
      <c r="AF377" s="6">
        <v>4.0000000000000001E-3</v>
      </c>
      <c r="AG377" s="6">
        <v>0.86299999999999999</v>
      </c>
      <c r="AH377" s="6">
        <v>0.245</v>
      </c>
      <c r="AI377" s="4">
        <f t="shared" si="187"/>
        <v>4.9000000000000002E-2</v>
      </c>
      <c r="AJ377" s="21">
        <f t="shared" si="188"/>
        <v>0.19900000000000001</v>
      </c>
      <c r="AK377" s="6">
        <v>7.6999999999999999E-2</v>
      </c>
      <c r="AL377" s="10">
        <f>SUM(AG377:AK377)+0.001</f>
        <v>1.4339999999999999</v>
      </c>
      <c r="AM377" s="6"/>
      <c r="AN377" s="6">
        <v>0</v>
      </c>
      <c r="AO377" s="6">
        <v>0</v>
      </c>
      <c r="AP377" s="6">
        <f t="shared" si="190"/>
        <v>4.0000000000000001E-3</v>
      </c>
      <c r="AQ377" s="10">
        <f t="shared" ref="AQ377:AQ378" si="191">AL377</f>
        <v>1.4339999999999999</v>
      </c>
    </row>
    <row r="378" spans="1:43">
      <c r="A378" s="37" t="s">
        <v>136</v>
      </c>
      <c r="B378" s="14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>
        <v>1.6999999999999999E-3</v>
      </c>
      <c r="X378" s="6">
        <v>0.05</v>
      </c>
      <c r="Y378" s="6"/>
      <c r="Z378" s="6"/>
      <c r="AA378" s="6"/>
      <c r="AB378" s="6"/>
      <c r="AC378" s="6"/>
      <c r="AD378" s="6"/>
      <c r="AE378" s="6"/>
      <c r="AF378" s="6">
        <v>1.6999999999999999E-3</v>
      </c>
      <c r="AG378" s="6">
        <v>6.6000000000000003E-2</v>
      </c>
      <c r="AH378" s="6">
        <v>0.26400000000000001</v>
      </c>
      <c r="AI378" s="4">
        <f>ROUND((AH378)*0.202,3)</f>
        <v>5.2999999999999999E-2</v>
      </c>
      <c r="AJ378" s="21">
        <f>ROUND((AH378)*0.8138,3)</f>
        <v>0.215</v>
      </c>
      <c r="AK378" s="6">
        <v>3.1E-2</v>
      </c>
      <c r="AL378" s="10">
        <f>SUM(AG378:AK378)</f>
        <v>0.629</v>
      </c>
      <c r="AM378" s="6"/>
      <c r="AN378" s="6">
        <v>0</v>
      </c>
      <c r="AO378" s="6">
        <v>0</v>
      </c>
      <c r="AP378" s="6">
        <f t="shared" si="190"/>
        <v>1.6999999999999999E-3</v>
      </c>
      <c r="AQ378" s="10">
        <f t="shared" si="191"/>
        <v>0.629</v>
      </c>
    </row>
    <row r="379" spans="1:43" ht="12">
      <c r="A379" s="39" t="s">
        <v>83</v>
      </c>
      <c r="B379" s="33" t="s">
        <v>72</v>
      </c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 t="e">
        <f>SUM(#REF!)</f>
        <v>#REF!</v>
      </c>
      <c r="AH379" s="30" t="e">
        <f>SUM(#REF!)</f>
        <v>#REF!</v>
      </c>
      <c r="AI379" s="30" t="e">
        <f>SUM(#REF!)</f>
        <v>#REF!</v>
      </c>
      <c r="AJ379" s="30" t="e">
        <f>SUM(#REF!)</f>
        <v>#REF!</v>
      </c>
      <c r="AK379" s="30" t="e">
        <f>SUM(#REF!)</f>
        <v>#REF!</v>
      </c>
      <c r="AL379" s="30" t="e">
        <f>SUM(#REF!)</f>
        <v>#REF!</v>
      </c>
      <c r="AM379" s="30"/>
      <c r="AN379" s="30">
        <v>109</v>
      </c>
      <c r="AO379" s="30">
        <v>43.6</v>
      </c>
      <c r="AP379" s="30">
        <v>109</v>
      </c>
      <c r="AQ379" s="30">
        <v>87.914000000000001</v>
      </c>
    </row>
    <row r="380" spans="1:43" s="8" customFormat="1" ht="12">
      <c r="A380" s="36" t="s">
        <v>131</v>
      </c>
      <c r="B380" s="14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>
        <v>109</v>
      </c>
      <c r="AO380" s="6">
        <v>43.6</v>
      </c>
      <c r="AP380" s="6">
        <v>109</v>
      </c>
      <c r="AQ380" s="6">
        <v>87.914000000000001</v>
      </c>
    </row>
    <row r="381" spans="1:43" ht="24.75" customHeight="1">
      <c r="A381" s="51" t="s">
        <v>84</v>
      </c>
      <c r="B381" s="52" t="s">
        <v>17</v>
      </c>
      <c r="C381" s="30"/>
      <c r="D381" s="30"/>
      <c r="E381" s="30">
        <f>SUM(E382:E396)</f>
        <v>5.9500000000000004E-3</v>
      </c>
      <c r="F381" s="30">
        <f>SUM(F382:F397)</f>
        <v>2.4489999999999998</v>
      </c>
      <c r="G381" s="30"/>
      <c r="H381" s="30"/>
      <c r="I381" s="30">
        <f>SUM(I382:I396)</f>
        <v>0</v>
      </c>
      <c r="J381" s="30">
        <f>SUM(J382:J397)</f>
        <v>0.80900000000000005</v>
      </c>
      <c r="K381" s="30"/>
      <c r="L381" s="30"/>
      <c r="M381" s="30"/>
      <c r="N381" s="30"/>
      <c r="O381" s="30"/>
      <c r="P381" s="30"/>
      <c r="Q381" s="30"/>
      <c r="R381" s="30"/>
      <c r="S381" s="30">
        <f>SUM(S382:S396)</f>
        <v>5.9500000000000004E-3</v>
      </c>
      <c r="T381" s="30">
        <f>SUM(T382:T397)</f>
        <v>3.6820000000000004</v>
      </c>
      <c r="U381" s="30"/>
      <c r="V381" s="30"/>
      <c r="W381" s="30">
        <f>SUM(W382:W396)</f>
        <v>0</v>
      </c>
      <c r="X381" s="30">
        <f t="shared" ref="X381:AD381" si="192">SUM(X382:X397)</f>
        <v>0</v>
      </c>
      <c r="Y381" s="30">
        <f t="shared" si="192"/>
        <v>0.58841500000000002</v>
      </c>
      <c r="Z381" s="30">
        <f t="shared" si="192"/>
        <v>5.3999999999999995</v>
      </c>
      <c r="AA381" s="30">
        <f t="shared" si="192"/>
        <v>0.58841500000000002</v>
      </c>
      <c r="AB381" s="30">
        <f t="shared" si="192"/>
        <v>5.3999999999999995</v>
      </c>
      <c r="AC381" s="30">
        <f t="shared" si="192"/>
        <v>4.340000000000001E-3</v>
      </c>
      <c r="AD381" s="30">
        <f t="shared" si="192"/>
        <v>11.795000000000002</v>
      </c>
      <c r="AE381" s="30"/>
      <c r="AF381" s="30">
        <f>SUM(AF382:AF397)</f>
        <v>0.60713500000000009</v>
      </c>
      <c r="AG381" s="30">
        <f>SUM(AG382:AG397)</f>
        <v>24.648999999999997</v>
      </c>
      <c r="AH381" s="30">
        <f t="shared" ref="AH381:AL381" si="193">SUM(AH382:AH397)</f>
        <v>6.306</v>
      </c>
      <c r="AI381" s="30">
        <f t="shared" si="193"/>
        <v>1.2720000000000002</v>
      </c>
      <c r="AJ381" s="30">
        <f t="shared" si="193"/>
        <v>5.1349999999999989</v>
      </c>
      <c r="AK381" s="30">
        <f t="shared" si="193"/>
        <v>0.38</v>
      </c>
      <c r="AL381" s="30">
        <f t="shared" si="193"/>
        <v>37.74</v>
      </c>
      <c r="AM381" s="30"/>
      <c r="AN381" s="30">
        <v>0</v>
      </c>
      <c r="AO381" s="30">
        <v>0</v>
      </c>
      <c r="AP381" s="44">
        <f>SUM(AP382:AP397)</f>
        <v>0.61308499999999999</v>
      </c>
      <c r="AQ381" s="30">
        <f>SUM(AQ382:AQ397)</f>
        <v>41.422000000000004</v>
      </c>
    </row>
    <row r="382" spans="1:43">
      <c r="A382" s="37" t="s">
        <v>85</v>
      </c>
      <c r="B382" s="14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>
        <f>0.00019+0.000535</f>
        <v>7.2499999999999995E-4</v>
      </c>
      <c r="Z382" s="6">
        <v>0.5</v>
      </c>
      <c r="AA382" s="6">
        <f>0.00019+0.000535</f>
        <v>7.2499999999999995E-4</v>
      </c>
      <c r="AB382" s="6">
        <v>0.5</v>
      </c>
      <c r="AC382" s="6"/>
      <c r="AD382" s="6"/>
      <c r="AE382" s="6"/>
      <c r="AF382" s="6">
        <f>0.00019+0.000535</f>
        <v>7.2499999999999995E-4</v>
      </c>
      <c r="AG382" s="6">
        <f>0.114+0.32</f>
        <v>0.434</v>
      </c>
      <c r="AH382" s="6">
        <f>0.093+0.268</f>
        <v>0.36099999999999999</v>
      </c>
      <c r="AI382" s="4">
        <f t="shared" ref="AI382:AI384" si="194">ROUND((AH382)*0.202,3)</f>
        <v>7.2999999999999995E-2</v>
      </c>
      <c r="AJ382" s="21">
        <f t="shared" ref="AJ382:AJ384" si="195">ROUND((AH382)*0.8138,3)</f>
        <v>0.29399999999999998</v>
      </c>
      <c r="AK382" s="6">
        <f>0.005+0.013</f>
        <v>1.7999999999999999E-2</v>
      </c>
      <c r="AL382" s="10">
        <f>SUM(AG382:AK382)-0.002</f>
        <v>1.1779999999999999</v>
      </c>
      <c r="AM382" s="6"/>
      <c r="AN382" s="6">
        <v>0</v>
      </c>
      <c r="AO382" s="6">
        <v>0</v>
      </c>
      <c r="AP382" s="6">
        <f>AF382</f>
        <v>7.2499999999999995E-4</v>
      </c>
      <c r="AQ382" s="10">
        <f>AL382</f>
        <v>1.1779999999999999</v>
      </c>
    </row>
    <row r="383" spans="1:43">
      <c r="A383" s="37" t="s">
        <v>86</v>
      </c>
      <c r="B383" s="14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>
        <f>0.0005+0.001</f>
        <v>1.5E-3</v>
      </c>
      <c r="AD383" s="6">
        <f>1+3</f>
        <v>4</v>
      </c>
      <c r="AE383" s="6"/>
      <c r="AF383" s="6">
        <f>0.006+0.0015</f>
        <v>7.4999999999999997E-3</v>
      </c>
      <c r="AG383" s="6">
        <f>0.736+4.019</f>
        <v>4.7549999999999999</v>
      </c>
      <c r="AH383" s="6">
        <f>0.932+0.225</f>
        <v>1.157</v>
      </c>
      <c r="AI383" s="4">
        <f t="shared" si="194"/>
        <v>0.23400000000000001</v>
      </c>
      <c r="AJ383" s="21">
        <f>ROUND((AH383)*0.8138,3)+0.001</f>
        <v>0.94299999999999995</v>
      </c>
      <c r="AK383" s="6">
        <v>0.108</v>
      </c>
      <c r="AL383" s="10">
        <f t="shared" ref="AL383:AL384" si="196">SUM(AG383:AK383)</f>
        <v>7.1969999999999992</v>
      </c>
      <c r="AM383" s="6"/>
      <c r="AN383" s="6">
        <v>0</v>
      </c>
      <c r="AO383" s="6">
        <v>0</v>
      </c>
      <c r="AP383" s="6">
        <f t="shared" ref="AP383" si="197">AF383</f>
        <v>7.4999999999999997E-3</v>
      </c>
      <c r="AQ383" s="10">
        <f t="shared" ref="AQ383" si="198">AL383</f>
        <v>7.1969999999999992</v>
      </c>
    </row>
    <row r="384" spans="1:43">
      <c r="A384" s="37" t="s">
        <v>37</v>
      </c>
      <c r="B384" s="14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>
        <v>5.0000000000000001E-4</v>
      </c>
      <c r="AD384" s="6">
        <v>1.5</v>
      </c>
      <c r="AE384" s="6"/>
      <c r="AF384" s="6">
        <v>5.0000000000000001E-4</v>
      </c>
      <c r="AG384" s="6">
        <v>1.506</v>
      </c>
      <c r="AH384" s="6">
        <v>5.6000000000000001E-2</v>
      </c>
      <c r="AI384" s="4">
        <f t="shared" si="194"/>
        <v>1.0999999999999999E-2</v>
      </c>
      <c r="AJ384" s="21">
        <f t="shared" si="195"/>
        <v>4.5999999999999999E-2</v>
      </c>
      <c r="AK384" s="6"/>
      <c r="AL384" s="10">
        <f t="shared" si="196"/>
        <v>1.619</v>
      </c>
      <c r="AM384" s="6"/>
      <c r="AN384" s="6">
        <v>0</v>
      </c>
      <c r="AO384" s="6">
        <v>0</v>
      </c>
      <c r="AP384" s="6">
        <f>AF384</f>
        <v>5.0000000000000001E-4</v>
      </c>
      <c r="AQ384" s="10">
        <f>AL384</f>
        <v>1.619</v>
      </c>
    </row>
    <row r="385" spans="1:43">
      <c r="A385" s="37" t="s">
        <v>38</v>
      </c>
      <c r="B385" s="14"/>
      <c r="C385" s="6"/>
      <c r="D385" s="6"/>
      <c r="E385" s="6">
        <v>6.9999999999999999E-4</v>
      </c>
      <c r="F385" s="6">
        <v>0.437</v>
      </c>
      <c r="G385" s="6" t="s">
        <v>87</v>
      </c>
      <c r="H385" s="6"/>
      <c r="I385" s="6"/>
      <c r="J385" s="6"/>
      <c r="K385" s="6">
        <v>0.28100000000000003</v>
      </c>
      <c r="L385" s="6">
        <v>7.4999999999999997E-2</v>
      </c>
      <c r="M385" s="4">
        <f>ROUND((L385)*0.202,3)</f>
        <v>1.4999999999999999E-2</v>
      </c>
      <c r="N385" s="21">
        <f>ROUND((L385)*1.0457,3)</f>
        <v>7.8E-2</v>
      </c>
      <c r="O385" s="6">
        <v>3.0000000000000001E-3</v>
      </c>
      <c r="P385" s="10">
        <f>SUM(K385:O385)</f>
        <v>0.45200000000000007</v>
      </c>
      <c r="Q385" s="6"/>
      <c r="R385" s="6"/>
      <c r="S385" s="6">
        <f>I385+E385</f>
        <v>6.9999999999999999E-4</v>
      </c>
      <c r="T385" s="10">
        <f>P385+F385</f>
        <v>0.88900000000000001</v>
      </c>
      <c r="U385" s="6"/>
      <c r="V385" s="6"/>
      <c r="W385" s="6"/>
      <c r="X385" s="10"/>
      <c r="Y385" s="6">
        <v>1.9E-3</v>
      </c>
      <c r="Z385" s="10">
        <v>0.2</v>
      </c>
      <c r="AA385" s="6">
        <v>1.9E-3</v>
      </c>
      <c r="AB385" s="10">
        <v>0.2</v>
      </c>
      <c r="AC385" s="6">
        <v>5.0000000000000001E-4</v>
      </c>
      <c r="AD385" s="10">
        <v>0.05</v>
      </c>
      <c r="AE385" s="6"/>
      <c r="AF385" s="6">
        <f>0.0019+0.0005</f>
        <v>2.4000000000000002E-3</v>
      </c>
      <c r="AG385" s="6">
        <f>1.142+0.292+0.048</f>
        <v>1.482</v>
      </c>
      <c r="AH385" s="6">
        <f>0.951+0.244+0.007</f>
        <v>1.2019999999999997</v>
      </c>
      <c r="AI385" s="4">
        <f>ROUND((AH385)*0.202,3)</f>
        <v>0.24299999999999999</v>
      </c>
      <c r="AJ385" s="21">
        <f>ROUND((AH385)*0.8138,3)</f>
        <v>0.97799999999999998</v>
      </c>
      <c r="AK385" s="6">
        <f>0.047+0.012</f>
        <v>5.8999999999999997E-2</v>
      </c>
      <c r="AL385" s="10">
        <f>SUM(AG385:AK385)+0.001</f>
        <v>3.9649999999999994</v>
      </c>
      <c r="AM385" s="10"/>
      <c r="AN385" s="6">
        <v>0</v>
      </c>
      <c r="AO385" s="6">
        <v>0</v>
      </c>
      <c r="AP385" s="6">
        <f>AF385+S385</f>
        <v>3.1000000000000003E-3</v>
      </c>
      <c r="AQ385" s="10">
        <f>T385+AL385</f>
        <v>4.8539999999999992</v>
      </c>
    </row>
    <row r="386" spans="1:43">
      <c r="A386" s="37" t="s">
        <v>45</v>
      </c>
      <c r="B386" s="14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4"/>
      <c r="N386" s="21"/>
      <c r="O386" s="6"/>
      <c r="P386" s="10"/>
      <c r="Q386" s="6"/>
      <c r="R386" s="6"/>
      <c r="S386" s="6"/>
      <c r="T386" s="10"/>
      <c r="U386" s="6"/>
      <c r="V386" s="6"/>
      <c r="W386" s="6"/>
      <c r="X386" s="10"/>
      <c r="Y386" s="6"/>
      <c r="Z386" s="10"/>
      <c r="AA386" s="6"/>
      <c r="AB386" s="10"/>
      <c r="AC386" s="6">
        <v>5.0000000000000001E-4</v>
      </c>
      <c r="AD386" s="10">
        <v>1.5</v>
      </c>
      <c r="AE386" s="6"/>
      <c r="AF386" s="6">
        <v>5.0000000000000001E-4</v>
      </c>
      <c r="AG386" s="6">
        <v>1.506</v>
      </c>
      <c r="AH386" s="6">
        <v>5.6000000000000001E-2</v>
      </c>
      <c r="AI386" s="4">
        <f>ROUND((AH386)*0.202,3)</f>
        <v>1.0999999999999999E-2</v>
      </c>
      <c r="AJ386" s="21">
        <f>ROUND((AH386)*0.8138,3)</f>
        <v>4.5999999999999999E-2</v>
      </c>
      <c r="AK386" s="6"/>
      <c r="AL386" s="10">
        <f>SUM(AG386:AK386)+0.001</f>
        <v>1.6199999999999999</v>
      </c>
      <c r="AM386" s="10"/>
      <c r="AN386" s="6">
        <v>0</v>
      </c>
      <c r="AO386" s="6">
        <v>0</v>
      </c>
      <c r="AP386" s="6">
        <f>AF386</f>
        <v>5.0000000000000001E-4</v>
      </c>
      <c r="AQ386" s="10">
        <f>AL386</f>
        <v>1.6199999999999999</v>
      </c>
    </row>
    <row r="387" spans="1:43">
      <c r="A387" s="37" t="s">
        <v>46</v>
      </c>
      <c r="B387" s="14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4"/>
      <c r="N387" s="21"/>
      <c r="O387" s="6"/>
      <c r="P387" s="10"/>
      <c r="Q387" s="6"/>
      <c r="R387" s="6"/>
      <c r="S387" s="6"/>
      <c r="T387" s="10"/>
      <c r="U387" s="6"/>
      <c r="V387" s="6"/>
      <c r="W387" s="6"/>
      <c r="X387" s="10"/>
      <c r="Y387" s="6">
        <v>1.67E-3</v>
      </c>
      <c r="Z387" s="10">
        <v>0.3</v>
      </c>
      <c r="AA387" s="6">
        <v>1.67E-3</v>
      </c>
      <c r="AB387" s="10">
        <v>0.3</v>
      </c>
      <c r="AC387" s="6"/>
      <c r="AD387" s="10"/>
      <c r="AE387" s="6"/>
      <c r="AF387" s="6">
        <v>1.8E-3</v>
      </c>
      <c r="AG387" s="6">
        <v>0.14000000000000001</v>
      </c>
      <c r="AH387" s="6">
        <v>2.5999999999999999E-2</v>
      </c>
      <c r="AI387" s="4">
        <f t="shared" ref="AI387:AI397" si="199">ROUND((AH387)*0.202,3)</f>
        <v>5.0000000000000001E-3</v>
      </c>
      <c r="AJ387" s="21">
        <f t="shared" ref="AJ387:AJ397" si="200">ROUND((AH387)*0.8138,3)</f>
        <v>2.1000000000000001E-2</v>
      </c>
      <c r="AK387" s="6">
        <v>5.0000000000000001E-3</v>
      </c>
      <c r="AL387" s="10">
        <f>SUM(AG387:AK387)</f>
        <v>0.19700000000000001</v>
      </c>
      <c r="AM387" s="10"/>
      <c r="AN387" s="6">
        <v>0</v>
      </c>
      <c r="AO387" s="6">
        <v>0</v>
      </c>
      <c r="AP387" s="6">
        <f t="shared" ref="AP387" si="201">AF387</f>
        <v>1.8E-3</v>
      </c>
      <c r="AQ387" s="10">
        <f t="shared" ref="AQ387" si="202">AL387</f>
        <v>0.19700000000000001</v>
      </c>
    </row>
    <row r="388" spans="1:43">
      <c r="A388" s="37" t="s">
        <v>48</v>
      </c>
      <c r="B388" s="14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4"/>
      <c r="N388" s="21"/>
      <c r="O388" s="6"/>
      <c r="P388" s="10"/>
      <c r="Q388" s="6"/>
      <c r="R388" s="6"/>
      <c r="S388" s="6"/>
      <c r="T388" s="10"/>
      <c r="U388" s="6"/>
      <c r="V388" s="6"/>
      <c r="W388" s="6"/>
      <c r="X388" s="10"/>
      <c r="Y388" s="6"/>
      <c r="Z388" s="10"/>
      <c r="AA388" s="6"/>
      <c r="AB388" s="10"/>
      <c r="AC388" s="6">
        <f>0.0003+0.00012</f>
        <v>4.1999999999999996E-4</v>
      </c>
      <c r="AD388" s="10">
        <f>0.05+0.71</f>
        <v>0.76</v>
      </c>
      <c r="AE388" s="6"/>
      <c r="AF388" s="6">
        <v>4.2000000000000002E-4</v>
      </c>
      <c r="AG388" s="6">
        <v>0.71799999999999997</v>
      </c>
      <c r="AH388" s="6">
        <v>0.113</v>
      </c>
      <c r="AI388" s="4">
        <f t="shared" si="199"/>
        <v>2.3E-2</v>
      </c>
      <c r="AJ388" s="21">
        <f t="shared" si="200"/>
        <v>9.1999999999999998E-2</v>
      </c>
      <c r="AK388" s="6"/>
      <c r="AL388" s="10">
        <f>SUM(AG388:AK388)-0.001</f>
        <v>0.94499999999999995</v>
      </c>
      <c r="AM388" s="10"/>
      <c r="AN388" s="6">
        <v>0</v>
      </c>
      <c r="AO388" s="6">
        <v>0</v>
      </c>
      <c r="AP388" s="6">
        <f>AF388</f>
        <v>4.2000000000000002E-4</v>
      </c>
      <c r="AQ388" s="10">
        <f>AL388</f>
        <v>0.94499999999999995</v>
      </c>
    </row>
    <row r="389" spans="1:43">
      <c r="A389" s="37" t="s">
        <v>49</v>
      </c>
      <c r="B389" s="14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4"/>
      <c r="N389" s="21"/>
      <c r="O389" s="6"/>
      <c r="P389" s="10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>
        <f>0.0005+0.00012</f>
        <v>6.2E-4</v>
      </c>
      <c r="AD389" s="6">
        <f>1.5+0.71</f>
        <v>2.21</v>
      </c>
      <c r="AE389" s="6"/>
      <c r="AF389" s="6">
        <v>6.2E-4</v>
      </c>
      <c r="AG389" s="6">
        <f>0.718+1.506</f>
        <v>2.2240000000000002</v>
      </c>
      <c r="AH389" s="6">
        <f>0.113+0.056</f>
        <v>0.16900000000000001</v>
      </c>
      <c r="AI389" s="4">
        <f t="shared" si="199"/>
        <v>3.4000000000000002E-2</v>
      </c>
      <c r="AJ389" s="21">
        <f t="shared" si="200"/>
        <v>0.13800000000000001</v>
      </c>
      <c r="AK389" s="6"/>
      <c r="AL389" s="10">
        <f>SUM(AG389:AK389)-0.001</f>
        <v>2.5640000000000001</v>
      </c>
      <c r="AM389" s="10"/>
      <c r="AN389" s="6">
        <v>0</v>
      </c>
      <c r="AO389" s="6">
        <v>0</v>
      </c>
      <c r="AP389" s="6">
        <f>AF389</f>
        <v>6.2E-4</v>
      </c>
      <c r="AQ389" s="10">
        <f>AL389</f>
        <v>2.5640000000000001</v>
      </c>
    </row>
    <row r="390" spans="1:43">
      <c r="A390" s="37" t="s">
        <v>50</v>
      </c>
      <c r="B390" s="14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4"/>
      <c r="N390" s="21"/>
      <c r="O390" s="6"/>
      <c r="P390" s="10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>
        <v>6.0000000000000002E-5</v>
      </c>
      <c r="AD390" s="6">
        <v>0.35499999999999998</v>
      </c>
      <c r="AE390" s="6"/>
      <c r="AF390" s="6">
        <v>6.0000000000000002E-5</v>
      </c>
      <c r="AG390" s="6">
        <v>0.35899999999999999</v>
      </c>
      <c r="AH390" s="6">
        <v>5.6000000000000001E-2</v>
      </c>
      <c r="AI390" s="4">
        <f t="shared" si="199"/>
        <v>1.0999999999999999E-2</v>
      </c>
      <c r="AJ390" s="21">
        <f t="shared" si="200"/>
        <v>4.5999999999999999E-2</v>
      </c>
      <c r="AK390" s="6"/>
      <c r="AL390" s="10">
        <f t="shared" ref="AL390" si="203">SUM(AG390:AK390)</f>
        <v>0.47199999999999998</v>
      </c>
      <c r="AM390" s="10"/>
      <c r="AN390" s="6">
        <v>0</v>
      </c>
      <c r="AO390" s="6">
        <v>0</v>
      </c>
      <c r="AP390" s="6">
        <f>AF390</f>
        <v>6.0000000000000002E-5</v>
      </c>
      <c r="AQ390" s="10">
        <f>AL390</f>
        <v>0.47199999999999998</v>
      </c>
    </row>
    <row r="391" spans="1:43">
      <c r="A391" s="37" t="s">
        <v>25</v>
      </c>
      <c r="B391" s="14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4"/>
      <c r="N391" s="21"/>
      <c r="O391" s="6"/>
      <c r="P391" s="10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>
        <v>6.0000000000000002E-5</v>
      </c>
      <c r="AD391" s="6">
        <v>0.35499999999999998</v>
      </c>
      <c r="AE391" s="6"/>
      <c r="AF391" s="6">
        <f>0.00105+0.00006</f>
        <v>1.1099999999999999E-3</v>
      </c>
      <c r="AG391" s="6">
        <f>0.074+0.359</f>
        <v>0.433</v>
      </c>
      <c r="AH391" s="6">
        <f>0.163+0.056</f>
        <v>0.219</v>
      </c>
      <c r="AI391" s="4">
        <f t="shared" si="199"/>
        <v>4.3999999999999997E-2</v>
      </c>
      <c r="AJ391" s="21">
        <f t="shared" si="200"/>
        <v>0.17799999999999999</v>
      </c>
      <c r="AK391" s="6">
        <v>1.9E-2</v>
      </c>
      <c r="AL391" s="10">
        <f t="shared" ref="AL391:AL397" si="204">SUM(AG391:AK391)</f>
        <v>0.89300000000000013</v>
      </c>
      <c r="AM391" s="10"/>
      <c r="AN391" s="6">
        <v>0</v>
      </c>
      <c r="AO391" s="6">
        <v>0</v>
      </c>
      <c r="AP391" s="6">
        <f t="shared" ref="AP391:AP392" si="205">AF391</f>
        <v>1.1099999999999999E-3</v>
      </c>
      <c r="AQ391" s="10">
        <f t="shared" ref="AQ391:AQ392" si="206">AL391</f>
        <v>0.89300000000000013</v>
      </c>
    </row>
    <row r="392" spans="1:43">
      <c r="A392" s="37" t="s">
        <v>53</v>
      </c>
      <c r="B392" s="14"/>
      <c r="C392" s="6"/>
      <c r="D392" s="6"/>
      <c r="E392" s="6"/>
      <c r="F392" s="6">
        <v>0.1</v>
      </c>
      <c r="G392" s="6"/>
      <c r="H392" s="6"/>
      <c r="I392" s="6"/>
      <c r="J392" s="6"/>
      <c r="K392" s="6"/>
      <c r="L392" s="6"/>
      <c r="M392" s="4">
        <f t="shared" ref="M392:M394" si="207">ROUND((L392)*0.202,3)</f>
        <v>0</v>
      </c>
      <c r="N392" s="21">
        <f t="shared" ref="N392:N394" si="208">ROUND((L392)*1.0457,3)</f>
        <v>0</v>
      </c>
      <c r="O392" s="6"/>
      <c r="P392" s="10">
        <f t="shared" ref="P392:P394" si="209">SUM(K392:O392)</f>
        <v>0</v>
      </c>
      <c r="Q392" s="6"/>
      <c r="R392" s="6"/>
      <c r="S392" s="6">
        <f>I392+E392</f>
        <v>0</v>
      </c>
      <c r="T392" s="6"/>
      <c r="U392" s="6"/>
      <c r="V392" s="6"/>
      <c r="W392" s="6"/>
      <c r="X392" s="6"/>
      <c r="Y392" s="6">
        <v>0.34799999999999998</v>
      </c>
      <c r="Z392" s="6">
        <v>2.4</v>
      </c>
      <c r="AA392" s="6">
        <v>0.34799999999999998</v>
      </c>
      <c r="AB392" s="6">
        <v>2.4</v>
      </c>
      <c r="AC392" s="6"/>
      <c r="AD392" s="6"/>
      <c r="AE392" s="6"/>
      <c r="AF392" s="6">
        <v>0.34799999999999998</v>
      </c>
      <c r="AG392" s="6">
        <v>2.492</v>
      </c>
      <c r="AH392" s="6">
        <v>0.33800000000000002</v>
      </c>
      <c r="AI392" s="4">
        <f t="shared" si="199"/>
        <v>6.8000000000000005E-2</v>
      </c>
      <c r="AJ392" s="21">
        <f t="shared" si="200"/>
        <v>0.27500000000000002</v>
      </c>
      <c r="AK392" s="6">
        <v>1E-3</v>
      </c>
      <c r="AL392" s="10">
        <f t="shared" si="204"/>
        <v>3.1739999999999999</v>
      </c>
      <c r="AM392" s="10"/>
      <c r="AN392" s="6">
        <v>0</v>
      </c>
      <c r="AO392" s="6">
        <v>0</v>
      </c>
      <c r="AP392" s="6">
        <f t="shared" si="205"/>
        <v>0.34799999999999998</v>
      </c>
      <c r="AQ392" s="10">
        <f t="shared" si="206"/>
        <v>3.1739999999999999</v>
      </c>
    </row>
    <row r="393" spans="1:43">
      <c r="A393" s="37" t="s">
        <v>55</v>
      </c>
      <c r="B393" s="14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4">
        <f t="shared" si="207"/>
        <v>0</v>
      </c>
      <c r="N393" s="21">
        <f t="shared" si="208"/>
        <v>0</v>
      </c>
      <c r="O393" s="6"/>
      <c r="P393" s="10">
        <f t="shared" si="209"/>
        <v>0</v>
      </c>
      <c r="Q393" s="6"/>
      <c r="R393" s="6"/>
      <c r="S393" s="6">
        <f>I393+E393</f>
        <v>0</v>
      </c>
      <c r="T393" s="6">
        <f>J393+F393</f>
        <v>0</v>
      </c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>
        <v>6.0000000000000001E-3</v>
      </c>
      <c r="AG393" s="6">
        <v>0.73599999999999999</v>
      </c>
      <c r="AH393" s="6">
        <v>0.93200000000000005</v>
      </c>
      <c r="AI393" s="4">
        <f t="shared" si="199"/>
        <v>0.188</v>
      </c>
      <c r="AJ393" s="21">
        <f>ROUND((AH393)*0.8138,3)+0.001</f>
        <v>0.75900000000000001</v>
      </c>
      <c r="AK393" s="6">
        <v>0.108</v>
      </c>
      <c r="AL393" s="10">
        <f t="shared" si="204"/>
        <v>2.7230000000000003</v>
      </c>
      <c r="AM393" s="10"/>
      <c r="AN393" s="6">
        <v>0</v>
      </c>
      <c r="AO393" s="6">
        <v>0</v>
      </c>
      <c r="AP393" s="6">
        <f>AF393+Z393</f>
        <v>6.0000000000000001E-3</v>
      </c>
      <c r="AQ393" s="10">
        <f>AL393</f>
        <v>2.7230000000000003</v>
      </c>
    </row>
    <row r="394" spans="1:43">
      <c r="A394" s="37" t="s">
        <v>26</v>
      </c>
      <c r="B394" s="14"/>
      <c r="C394" s="6"/>
      <c r="D394" s="6"/>
      <c r="E394" s="6">
        <v>5.2500000000000003E-3</v>
      </c>
      <c r="F394" s="6">
        <v>1.9119999999999999</v>
      </c>
      <c r="G394" s="6"/>
      <c r="H394" s="6" t="s">
        <v>88</v>
      </c>
      <c r="I394" s="6"/>
      <c r="J394" s="6">
        <v>0.80900000000000005</v>
      </c>
      <c r="K394" s="6">
        <v>1.228</v>
      </c>
      <c r="L394" s="6">
        <v>0.33</v>
      </c>
      <c r="M394" s="4">
        <f t="shared" si="207"/>
        <v>6.7000000000000004E-2</v>
      </c>
      <c r="N394" s="21">
        <f t="shared" si="208"/>
        <v>0.34499999999999997</v>
      </c>
      <c r="O394" s="6">
        <v>1.4E-2</v>
      </c>
      <c r="P394" s="10">
        <f t="shared" si="209"/>
        <v>1.984</v>
      </c>
      <c r="Q394" s="6"/>
      <c r="R394" s="6"/>
      <c r="S394" s="6">
        <f>I394+E394</f>
        <v>5.2500000000000003E-3</v>
      </c>
      <c r="T394" s="10">
        <f>J394+P394</f>
        <v>2.7930000000000001</v>
      </c>
      <c r="U394" s="6"/>
      <c r="V394" s="6"/>
      <c r="W394" s="6"/>
      <c r="X394" s="10"/>
      <c r="Y394" s="6">
        <f>0.232+0.00105</f>
        <v>0.23305000000000001</v>
      </c>
      <c r="Z394" s="10">
        <v>1.6</v>
      </c>
      <c r="AA394" s="6">
        <f>0.232+0.00105</f>
        <v>0.23305000000000001</v>
      </c>
      <c r="AB394" s="10">
        <v>1.6</v>
      </c>
      <c r="AC394" s="6"/>
      <c r="AD394" s="10"/>
      <c r="AE394" s="6"/>
      <c r="AF394" s="6">
        <f>0.232+0.00105</f>
        <v>0.23305000000000001</v>
      </c>
      <c r="AG394" s="6">
        <f>5.394+0.359</f>
        <v>5.7530000000000001</v>
      </c>
      <c r="AH394" s="6">
        <f>0.733+0.056</f>
        <v>0.78900000000000003</v>
      </c>
      <c r="AI394" s="4">
        <f t="shared" si="199"/>
        <v>0.159</v>
      </c>
      <c r="AJ394" s="21">
        <f t="shared" si="200"/>
        <v>0.64200000000000002</v>
      </c>
      <c r="AK394" s="6">
        <v>1E-3</v>
      </c>
      <c r="AL394" s="10">
        <f t="shared" si="204"/>
        <v>7.3440000000000003</v>
      </c>
      <c r="AM394" s="10"/>
      <c r="AN394" s="6">
        <v>0</v>
      </c>
      <c r="AO394" s="6">
        <v>0</v>
      </c>
      <c r="AP394" s="6">
        <f>AF394+S394</f>
        <v>0.23830000000000001</v>
      </c>
      <c r="AQ394" s="10">
        <f>AL394+T394</f>
        <v>10.137</v>
      </c>
    </row>
    <row r="395" spans="1:43">
      <c r="A395" s="37" t="s">
        <v>27</v>
      </c>
      <c r="B395" s="14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>
        <v>6.0000000000000002E-5</v>
      </c>
      <c r="AD395" s="6">
        <v>0.35499999999999998</v>
      </c>
      <c r="AE395" s="6"/>
      <c r="AF395" s="6">
        <f>0.00105+0.00006</f>
        <v>1.1099999999999999E-3</v>
      </c>
      <c r="AG395" s="6">
        <f>0.074+0.359</f>
        <v>0.433</v>
      </c>
      <c r="AH395" s="6">
        <f>0.163+0.056</f>
        <v>0.219</v>
      </c>
      <c r="AI395" s="4">
        <f t="shared" si="199"/>
        <v>4.3999999999999997E-2</v>
      </c>
      <c r="AJ395" s="21">
        <f t="shared" si="200"/>
        <v>0.17799999999999999</v>
      </c>
      <c r="AK395" s="6">
        <v>1.9E-2</v>
      </c>
      <c r="AL395" s="10">
        <f t="shared" si="204"/>
        <v>0.89300000000000013</v>
      </c>
      <c r="AM395" s="6"/>
      <c r="AN395" s="6">
        <v>0</v>
      </c>
      <c r="AO395" s="6">
        <v>0</v>
      </c>
      <c r="AP395" s="6">
        <f t="shared" ref="AP395:AP397" si="210">AF395</f>
        <v>1.1099999999999999E-3</v>
      </c>
      <c r="AQ395" s="10">
        <f t="shared" ref="AQ395:AQ397" si="211">AL395</f>
        <v>0.89300000000000013</v>
      </c>
    </row>
    <row r="396" spans="1:43">
      <c r="A396" s="37" t="s">
        <v>57</v>
      </c>
      <c r="B396" s="14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>
        <v>1.6800000000000001E-3</v>
      </c>
      <c r="Z396" s="6">
        <v>0.1</v>
      </c>
      <c r="AA396" s="6">
        <v>1.6800000000000001E-3</v>
      </c>
      <c r="AB396" s="6">
        <v>0.1</v>
      </c>
      <c r="AC396" s="6">
        <v>6.0000000000000002E-5</v>
      </c>
      <c r="AD396" s="6">
        <v>0.35499999999999998</v>
      </c>
      <c r="AE396" s="6"/>
      <c r="AF396" s="6">
        <f>0.00168+0.00006</f>
        <v>1.74E-3</v>
      </c>
      <c r="AG396" s="6">
        <f>0.614+0.359</f>
        <v>0.97299999999999998</v>
      </c>
      <c r="AH396" s="6">
        <f>0.261+0.056</f>
        <v>0.317</v>
      </c>
      <c r="AI396" s="4">
        <f t="shared" si="199"/>
        <v>6.4000000000000001E-2</v>
      </c>
      <c r="AJ396" s="21">
        <f t="shared" si="200"/>
        <v>0.25800000000000001</v>
      </c>
      <c r="AK396" s="6">
        <v>0.03</v>
      </c>
      <c r="AL396" s="10">
        <f t="shared" si="204"/>
        <v>1.6420000000000001</v>
      </c>
      <c r="AM396" s="6"/>
      <c r="AN396" s="6">
        <v>0</v>
      </c>
      <c r="AO396" s="6">
        <v>0</v>
      </c>
      <c r="AP396" s="6">
        <f t="shared" si="210"/>
        <v>1.74E-3</v>
      </c>
      <c r="AQ396" s="10">
        <f t="shared" si="211"/>
        <v>1.6420000000000001</v>
      </c>
    </row>
    <row r="397" spans="1:43">
      <c r="A397" s="37" t="s">
        <v>29</v>
      </c>
      <c r="B397" s="14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>
        <v>1.39E-3</v>
      </c>
      <c r="Z397" s="6">
        <v>0.3</v>
      </c>
      <c r="AA397" s="6">
        <v>1.39E-3</v>
      </c>
      <c r="AB397" s="6">
        <v>0.3</v>
      </c>
      <c r="AC397" s="6">
        <v>6.0000000000000002E-5</v>
      </c>
      <c r="AD397" s="6">
        <v>0.35499999999999998</v>
      </c>
      <c r="AE397" s="6"/>
      <c r="AF397" s="6">
        <f>0.0007+0.00084+0.00006</f>
        <v>1.6000000000000001E-3</v>
      </c>
      <c r="AG397" s="6">
        <f>0.215+0.131+0.359</f>
        <v>0.70499999999999996</v>
      </c>
      <c r="AH397" s="6">
        <f>0.109+0.131+0.056</f>
        <v>0.29599999999999999</v>
      </c>
      <c r="AI397" s="4">
        <f t="shared" si="199"/>
        <v>0.06</v>
      </c>
      <c r="AJ397" s="21">
        <f t="shared" si="200"/>
        <v>0.24099999999999999</v>
      </c>
      <c r="AK397" s="6">
        <v>1.2E-2</v>
      </c>
      <c r="AL397" s="10">
        <f t="shared" si="204"/>
        <v>1.3140000000000001</v>
      </c>
      <c r="AM397" s="6"/>
      <c r="AN397" s="6">
        <v>0</v>
      </c>
      <c r="AO397" s="6">
        <v>0</v>
      </c>
      <c r="AP397" s="6">
        <f t="shared" si="210"/>
        <v>1.6000000000000001E-3</v>
      </c>
      <c r="AQ397" s="10">
        <f t="shared" si="211"/>
        <v>1.3140000000000001</v>
      </c>
    </row>
    <row r="398" spans="1:43" ht="12">
      <c r="A398" s="39" t="s">
        <v>89</v>
      </c>
      <c r="B398" s="33" t="s">
        <v>72</v>
      </c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>
        <f>SUM(Y399:Y403)</f>
        <v>12</v>
      </c>
      <c r="Z398" s="30">
        <f>SUM(Z399:Z403)</f>
        <v>2.1</v>
      </c>
      <c r="AA398" s="30">
        <f>SUM(AA399:AA403)</f>
        <v>12</v>
      </c>
      <c r="AB398" s="30">
        <f>SUM(AB399:AB403)</f>
        <v>2.1</v>
      </c>
      <c r="AC398" s="30"/>
      <c r="AD398" s="30"/>
      <c r="AE398" s="30"/>
      <c r="AF398" s="30">
        <f>SUM(AF399:AF403)</f>
        <v>12</v>
      </c>
      <c r="AG398" s="30"/>
      <c r="AH398" s="30"/>
      <c r="AI398" s="30"/>
      <c r="AJ398" s="30"/>
      <c r="AK398" s="30"/>
      <c r="AL398" s="30"/>
      <c r="AM398" s="30"/>
      <c r="AN398" s="30">
        <v>11</v>
      </c>
      <c r="AO398" s="30">
        <v>15.63</v>
      </c>
      <c r="AP398" s="30">
        <f>SUM(AP399:AP404)</f>
        <v>14</v>
      </c>
      <c r="AQ398" s="30">
        <f>SUM(AQ399:AQ404)</f>
        <v>1.607</v>
      </c>
    </row>
    <row r="399" spans="1:43">
      <c r="A399" s="37" t="s">
        <v>130</v>
      </c>
      <c r="B399" s="14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>
        <v>2</v>
      </c>
      <c r="Z399" s="6">
        <v>1</v>
      </c>
      <c r="AA399" s="6">
        <v>2</v>
      </c>
      <c r="AB399" s="6">
        <v>1</v>
      </c>
      <c r="AC399" s="6"/>
      <c r="AD399" s="6"/>
      <c r="AE399" s="6"/>
      <c r="AF399" s="6">
        <v>2</v>
      </c>
      <c r="AG399" s="6"/>
      <c r="AH399" s="6"/>
      <c r="AI399" s="4">
        <f t="shared" ref="AI399" si="212">ROUND((AH399)*0.202,3)</f>
        <v>0</v>
      </c>
      <c r="AJ399" s="21">
        <f>ROUND((AH399)*0.8138,3)</f>
        <v>0</v>
      </c>
      <c r="AK399" s="6"/>
      <c r="AL399" s="10">
        <f t="shared" ref="AL399:AL404" si="213">SUM(AG399:AK399)</f>
        <v>0</v>
      </c>
      <c r="AM399" s="6"/>
      <c r="AN399" s="6">
        <v>0</v>
      </c>
      <c r="AO399" s="6">
        <v>0</v>
      </c>
      <c r="AP399" s="6">
        <f>AF399</f>
        <v>2</v>
      </c>
      <c r="AQ399" s="10">
        <v>0.222</v>
      </c>
    </row>
    <row r="400" spans="1:43">
      <c r="A400" s="37" t="s">
        <v>135</v>
      </c>
      <c r="B400" s="14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>
        <v>1</v>
      </c>
      <c r="AD400" s="6">
        <v>0.1</v>
      </c>
      <c r="AE400" s="6"/>
      <c r="AF400" s="6"/>
      <c r="AG400" s="6"/>
      <c r="AH400" s="6"/>
      <c r="AI400" s="4"/>
      <c r="AJ400" s="21"/>
      <c r="AK400" s="6"/>
      <c r="AL400" s="10"/>
      <c r="AM400" s="6"/>
      <c r="AN400" s="6">
        <v>0</v>
      </c>
      <c r="AO400" s="6">
        <v>0</v>
      </c>
      <c r="AP400" s="6">
        <v>1</v>
      </c>
      <c r="AQ400" s="10">
        <v>0.11</v>
      </c>
    </row>
    <row r="401" spans="1:43">
      <c r="A401" s="37" t="s">
        <v>18</v>
      </c>
      <c r="B401" s="14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4">
        <f t="shared" ref="AI401:AI404" si="214">ROUND((AH401)*0.202,3)</f>
        <v>0</v>
      </c>
      <c r="AJ401" s="21">
        <f t="shared" ref="AJ401:AJ404" si="215">ROUND((AH401)*0.8138,3)</f>
        <v>0</v>
      </c>
      <c r="AK401" s="6"/>
      <c r="AL401" s="10">
        <f t="shared" si="213"/>
        <v>0</v>
      </c>
      <c r="AM401" s="6"/>
      <c r="AN401" s="6">
        <v>1</v>
      </c>
      <c r="AO401" s="6">
        <v>1.51</v>
      </c>
      <c r="AP401" s="6">
        <f t="shared" ref="AP401:AP403" si="216">AF401</f>
        <v>0</v>
      </c>
      <c r="AQ401" s="10">
        <f t="shared" ref="AQ401" si="217">AL401</f>
        <v>0</v>
      </c>
    </row>
    <row r="402" spans="1:43">
      <c r="A402" s="37" t="s">
        <v>129</v>
      </c>
      <c r="B402" s="14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>
        <v>6</v>
      </c>
      <c r="Z402" s="6">
        <v>1</v>
      </c>
      <c r="AA402" s="6">
        <v>6</v>
      </c>
      <c r="AB402" s="6">
        <v>1</v>
      </c>
      <c r="AC402" s="6"/>
      <c r="AD402" s="6"/>
      <c r="AE402" s="6"/>
      <c r="AF402" s="6">
        <v>6</v>
      </c>
      <c r="AG402" s="6"/>
      <c r="AH402" s="6"/>
      <c r="AI402" s="4">
        <f t="shared" si="214"/>
        <v>0</v>
      </c>
      <c r="AJ402" s="21">
        <f t="shared" si="215"/>
        <v>0</v>
      </c>
      <c r="AK402" s="6"/>
      <c r="AL402" s="10">
        <f t="shared" si="213"/>
        <v>0</v>
      </c>
      <c r="AM402" s="6"/>
      <c r="AN402" s="6">
        <v>6</v>
      </c>
      <c r="AO402" s="6">
        <v>8.4700000000000006</v>
      </c>
      <c r="AP402" s="6">
        <f t="shared" si="216"/>
        <v>6</v>
      </c>
      <c r="AQ402" s="10">
        <v>0.63</v>
      </c>
    </row>
    <row r="403" spans="1:43">
      <c r="A403" s="37" t="s">
        <v>136</v>
      </c>
      <c r="B403" s="14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>
        <v>4</v>
      </c>
      <c r="Z403" s="6">
        <v>0.1</v>
      </c>
      <c r="AA403" s="6">
        <v>4</v>
      </c>
      <c r="AB403" s="6">
        <v>0.1</v>
      </c>
      <c r="AC403" s="6"/>
      <c r="AD403" s="6"/>
      <c r="AE403" s="6"/>
      <c r="AF403" s="6">
        <v>4</v>
      </c>
      <c r="AG403" s="6"/>
      <c r="AH403" s="6"/>
      <c r="AI403" s="4">
        <f t="shared" si="214"/>
        <v>0</v>
      </c>
      <c r="AJ403" s="21">
        <f t="shared" si="215"/>
        <v>0</v>
      </c>
      <c r="AK403" s="6"/>
      <c r="AL403" s="10">
        <f t="shared" si="213"/>
        <v>0</v>
      </c>
      <c r="AM403" s="6"/>
      <c r="AN403" s="6">
        <v>4</v>
      </c>
      <c r="AO403" s="6">
        <v>5.65</v>
      </c>
      <c r="AP403" s="6">
        <f t="shared" si="216"/>
        <v>4</v>
      </c>
      <c r="AQ403" s="10">
        <v>0.42</v>
      </c>
    </row>
    <row r="404" spans="1:43">
      <c r="A404" s="37" t="s">
        <v>27</v>
      </c>
      <c r="B404" s="14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>
        <v>1</v>
      </c>
      <c r="AD404" s="6">
        <v>0.22500000000000001</v>
      </c>
      <c r="AE404" s="6" t="s">
        <v>90</v>
      </c>
      <c r="AF404" s="6"/>
      <c r="AG404" s="6"/>
      <c r="AH404" s="6"/>
      <c r="AI404" s="4">
        <f t="shared" si="214"/>
        <v>0</v>
      </c>
      <c r="AJ404" s="21">
        <f t="shared" si="215"/>
        <v>0</v>
      </c>
      <c r="AK404" s="6"/>
      <c r="AL404" s="10">
        <f t="shared" si="213"/>
        <v>0</v>
      </c>
      <c r="AM404" s="6"/>
      <c r="AN404" s="6">
        <v>0</v>
      </c>
      <c r="AO404" s="6">
        <v>0</v>
      </c>
      <c r="AP404" s="6">
        <v>1</v>
      </c>
      <c r="AQ404" s="10">
        <v>0.22500000000000001</v>
      </c>
    </row>
    <row r="405" spans="1:43" ht="12">
      <c r="A405" s="39" t="s">
        <v>91</v>
      </c>
      <c r="B405" s="33" t="s">
        <v>79</v>
      </c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>
        <f>SUM(Y406:Y410)</f>
        <v>19</v>
      </c>
      <c r="Z405" s="30">
        <f>SUM(Z406:Z410)</f>
        <v>0.89999999999999991</v>
      </c>
      <c r="AA405" s="30">
        <f>SUM(AA406:AA410)</f>
        <v>19</v>
      </c>
      <c r="AB405" s="30">
        <f>SUM(AB406:AB410)</f>
        <v>0.89999999999999991</v>
      </c>
      <c r="AC405" s="30"/>
      <c r="AD405" s="30"/>
      <c r="AE405" s="30"/>
      <c r="AF405" s="30">
        <f>SUM(AF406:AF410)</f>
        <v>19</v>
      </c>
      <c r="AG405" s="30"/>
      <c r="AH405" s="30"/>
      <c r="AI405" s="30"/>
      <c r="AJ405" s="30"/>
      <c r="AK405" s="30"/>
      <c r="AL405" s="30"/>
      <c r="AM405" s="30"/>
      <c r="AN405" s="30">
        <v>19</v>
      </c>
      <c r="AO405" s="30">
        <v>85</v>
      </c>
      <c r="AP405" s="30">
        <f>SUM(AP406:AP410)</f>
        <v>19</v>
      </c>
      <c r="AQ405" s="30">
        <f>SUM(AQ406:AQ410)</f>
        <v>3.073</v>
      </c>
    </row>
    <row r="406" spans="1:43" ht="12">
      <c r="A406" s="37" t="s">
        <v>92</v>
      </c>
      <c r="B406" s="14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>
        <v>2</v>
      </c>
      <c r="Z406" s="6">
        <v>0.1</v>
      </c>
      <c r="AA406" s="6">
        <v>2</v>
      </c>
      <c r="AB406" s="6">
        <v>0.1</v>
      </c>
      <c r="AC406" s="6"/>
      <c r="AD406" s="6"/>
      <c r="AE406" s="6"/>
      <c r="AF406" s="6">
        <v>2</v>
      </c>
      <c r="AG406" s="6"/>
      <c r="AH406" s="6"/>
      <c r="AI406" s="6"/>
      <c r="AJ406" s="6"/>
      <c r="AK406" s="6"/>
      <c r="AL406" s="6"/>
      <c r="AM406" s="6"/>
      <c r="AN406" s="6">
        <v>2</v>
      </c>
      <c r="AO406" s="6">
        <v>8.9499999999999993</v>
      </c>
      <c r="AP406" s="6">
        <f>AF406</f>
        <v>2</v>
      </c>
      <c r="AQ406" s="6">
        <v>0.32500000000000001</v>
      </c>
    </row>
    <row r="407" spans="1:43" ht="12">
      <c r="A407" s="37" t="s">
        <v>18</v>
      </c>
      <c r="B407" s="14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>
        <v>8</v>
      </c>
      <c r="Z407" s="6">
        <v>0.5</v>
      </c>
      <c r="AA407" s="6">
        <v>8</v>
      </c>
      <c r="AB407" s="6">
        <v>0.5</v>
      </c>
      <c r="AC407" s="6"/>
      <c r="AD407" s="6"/>
      <c r="AE407" s="6"/>
      <c r="AF407" s="6">
        <v>8</v>
      </c>
      <c r="AG407" s="6"/>
      <c r="AH407" s="6"/>
      <c r="AI407" s="6"/>
      <c r="AJ407" s="6"/>
      <c r="AK407" s="6"/>
      <c r="AL407" s="6"/>
      <c r="AM407" s="6"/>
      <c r="AN407" s="6">
        <v>8</v>
      </c>
      <c r="AO407" s="6">
        <v>35.79</v>
      </c>
      <c r="AP407" s="6">
        <f t="shared" ref="AP407:AP410" si="218">AF407</f>
        <v>8</v>
      </c>
      <c r="AQ407" s="6">
        <v>1.2</v>
      </c>
    </row>
    <row r="408" spans="1:43" ht="12">
      <c r="A408" s="37" t="s">
        <v>54</v>
      </c>
      <c r="B408" s="14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>
        <v>3</v>
      </c>
      <c r="Z408" s="6">
        <v>0.1</v>
      </c>
      <c r="AA408" s="6">
        <v>3</v>
      </c>
      <c r="AB408" s="6">
        <v>0.1</v>
      </c>
      <c r="AC408" s="6"/>
      <c r="AD408" s="6"/>
      <c r="AE408" s="6"/>
      <c r="AF408" s="6">
        <v>3</v>
      </c>
      <c r="AG408" s="6"/>
      <c r="AH408" s="6"/>
      <c r="AI408" s="6"/>
      <c r="AJ408" s="6"/>
      <c r="AK408" s="6"/>
      <c r="AL408" s="6"/>
      <c r="AM408" s="6"/>
      <c r="AN408" s="6">
        <v>3</v>
      </c>
      <c r="AO408" s="6">
        <v>13.42</v>
      </c>
      <c r="AP408" s="6">
        <f t="shared" si="218"/>
        <v>3</v>
      </c>
      <c r="AQ408" s="6">
        <v>0.51600000000000001</v>
      </c>
    </row>
    <row r="409" spans="1:43" ht="12">
      <c r="A409" s="37" t="s">
        <v>55</v>
      </c>
      <c r="B409" s="14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>
        <v>3</v>
      </c>
      <c r="Z409" s="6">
        <v>0.1</v>
      </c>
      <c r="AA409" s="6">
        <v>3</v>
      </c>
      <c r="AB409" s="6">
        <v>0.1</v>
      </c>
      <c r="AC409" s="6"/>
      <c r="AD409" s="6"/>
      <c r="AE409" s="6"/>
      <c r="AF409" s="6">
        <v>3</v>
      </c>
      <c r="AG409" s="6"/>
      <c r="AH409" s="6"/>
      <c r="AI409" s="6"/>
      <c r="AJ409" s="6"/>
      <c r="AK409" s="6"/>
      <c r="AL409" s="6"/>
      <c r="AM409" s="6"/>
      <c r="AN409" s="6">
        <v>3</v>
      </c>
      <c r="AO409" s="6">
        <v>13.42</v>
      </c>
      <c r="AP409" s="6">
        <f t="shared" si="218"/>
        <v>3</v>
      </c>
      <c r="AQ409" s="6">
        <v>0.51600000000000001</v>
      </c>
    </row>
    <row r="410" spans="1:43" ht="12">
      <c r="A410" s="37" t="s">
        <v>56</v>
      </c>
      <c r="B410" s="14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>
        <v>3</v>
      </c>
      <c r="Z410" s="6">
        <v>0.1</v>
      </c>
      <c r="AA410" s="6">
        <v>3</v>
      </c>
      <c r="AB410" s="6">
        <v>0.1</v>
      </c>
      <c r="AC410" s="6"/>
      <c r="AD410" s="6"/>
      <c r="AE410" s="6"/>
      <c r="AF410" s="6">
        <v>3</v>
      </c>
      <c r="AG410" s="6"/>
      <c r="AH410" s="6"/>
      <c r="AI410" s="6"/>
      <c r="AJ410" s="6"/>
      <c r="AK410" s="6"/>
      <c r="AL410" s="6"/>
      <c r="AM410" s="6"/>
      <c r="AN410" s="6">
        <v>3</v>
      </c>
      <c r="AO410" s="6">
        <v>13.42</v>
      </c>
      <c r="AP410" s="6">
        <f t="shared" si="218"/>
        <v>3</v>
      </c>
      <c r="AQ410" s="6">
        <v>0.51600000000000001</v>
      </c>
    </row>
    <row r="411" spans="1:43" ht="12">
      <c r="A411" s="39" t="s">
        <v>150</v>
      </c>
      <c r="B411" s="33" t="s">
        <v>79</v>
      </c>
      <c r="C411" s="30">
        <v>9</v>
      </c>
      <c r="D411" s="30">
        <v>34.200000000000003</v>
      </c>
      <c r="E411" s="30">
        <f>SUM(E412:E429)</f>
        <v>8</v>
      </c>
      <c r="F411" s="30">
        <f>SUM(F412:F421)</f>
        <v>1.5720000000000001</v>
      </c>
      <c r="G411" s="30">
        <v>9</v>
      </c>
      <c r="H411" s="30">
        <v>34.200000000000003</v>
      </c>
      <c r="I411" s="30">
        <f>SUM(I412:I429)</f>
        <v>0</v>
      </c>
      <c r="J411" s="30">
        <f>SUM(J412:J421)</f>
        <v>0</v>
      </c>
      <c r="K411" s="30">
        <f t="shared" ref="K411:R411" si="219">SUM(K412:K429)</f>
        <v>5.7000000000000002E-2</v>
      </c>
      <c r="L411" s="30">
        <f t="shared" si="219"/>
        <v>0.79899999999999982</v>
      </c>
      <c r="M411" s="30">
        <f t="shared" si="219"/>
        <v>0.16200000000000003</v>
      </c>
      <c r="N411" s="30">
        <f t="shared" si="219"/>
        <v>0.83499999999999985</v>
      </c>
      <c r="O411" s="30">
        <f t="shared" si="219"/>
        <v>0.26900000000000002</v>
      </c>
      <c r="P411" s="30">
        <f t="shared" si="219"/>
        <v>2.1219999999999999</v>
      </c>
      <c r="Q411" s="30">
        <f t="shared" si="219"/>
        <v>9</v>
      </c>
      <c r="R411" s="30">
        <f t="shared" si="219"/>
        <v>34.239999999999995</v>
      </c>
      <c r="S411" s="44" t="e">
        <f>SUM(S412:S429)-S429</f>
        <v>#REF!</v>
      </c>
      <c r="T411" s="44" t="e">
        <f>SUM(T412:T429)-T429</f>
        <v>#REF!</v>
      </c>
      <c r="U411" s="30"/>
      <c r="V411" s="30"/>
      <c r="W411" s="44">
        <f t="shared" ref="W411:AD411" si="220">SUM(W412:W429)-W429</f>
        <v>3</v>
      </c>
      <c r="X411" s="44">
        <f t="shared" si="220"/>
        <v>0.30000000000000004</v>
      </c>
      <c r="Y411" s="44">
        <f t="shared" si="220"/>
        <v>2</v>
      </c>
      <c r="Z411" s="44">
        <f t="shared" si="220"/>
        <v>0.3</v>
      </c>
      <c r="AA411" s="44">
        <f t="shared" si="220"/>
        <v>2</v>
      </c>
      <c r="AB411" s="44">
        <f t="shared" si="220"/>
        <v>0.3</v>
      </c>
      <c r="AC411" s="44">
        <f t="shared" si="220"/>
        <v>2</v>
      </c>
      <c r="AD411" s="44">
        <f t="shared" si="220"/>
        <v>0.16700000000000001</v>
      </c>
      <c r="AE411" s="30"/>
      <c r="AF411" s="44">
        <f>SUM(AF412:AF429)-AF429</f>
        <v>8</v>
      </c>
      <c r="AG411" s="30">
        <f t="shared" ref="AG411:AL411" si="221">SUM(AG412:AG429)</f>
        <v>0.55299999999999994</v>
      </c>
      <c r="AH411" s="30">
        <f t="shared" si="221"/>
        <v>0.66900000000000004</v>
      </c>
      <c r="AI411" s="30">
        <f t="shared" si="221"/>
        <v>0.13400000000000001</v>
      </c>
      <c r="AJ411" s="30">
        <f t="shared" si="221"/>
        <v>0.54500000000000004</v>
      </c>
      <c r="AK411" s="30">
        <f t="shared" si="221"/>
        <v>0.41600000000000004</v>
      </c>
      <c r="AL411" s="30">
        <f t="shared" si="221"/>
        <v>2.3190000000000004</v>
      </c>
      <c r="AM411" s="30"/>
      <c r="AN411" s="30">
        <f>SUM(AN412:AN429)</f>
        <v>24</v>
      </c>
      <c r="AO411" s="30">
        <f>SUM(AO412:AO429)</f>
        <v>90.860000000000014</v>
      </c>
      <c r="AP411" s="50">
        <v>24</v>
      </c>
      <c r="AQ411" s="44">
        <v>8.1180000000000003</v>
      </c>
    </row>
    <row r="412" spans="1:43">
      <c r="A412" s="37" t="s">
        <v>138</v>
      </c>
      <c r="B412" s="14"/>
      <c r="C412" s="6"/>
      <c r="D412" s="6"/>
      <c r="E412" s="6">
        <v>1</v>
      </c>
      <c r="F412" s="6">
        <v>0.14000000000000001</v>
      </c>
      <c r="G412" s="6"/>
      <c r="H412" s="6"/>
      <c r="I412" s="6"/>
      <c r="J412" s="6"/>
      <c r="K412" s="6"/>
      <c r="L412" s="6">
        <v>6.9000000000000006E-2</v>
      </c>
      <c r="M412" s="4">
        <f t="shared" ref="M412:M428" si="222">ROUND((L412)*0.202,3)</f>
        <v>1.4E-2</v>
      </c>
      <c r="N412" s="21">
        <f t="shared" ref="N412:N428" si="223">ROUND((L412)*1.0457,3)</f>
        <v>7.1999999999999995E-2</v>
      </c>
      <c r="O412" s="6"/>
      <c r="P412" s="10">
        <f t="shared" ref="P412:P428" si="224">SUM(K412:O412)</f>
        <v>0.155</v>
      </c>
      <c r="Q412" s="6">
        <v>1</v>
      </c>
      <c r="R412" s="6">
        <v>3.79</v>
      </c>
      <c r="S412" s="6">
        <f t="shared" ref="S412:S421" si="225">I412+E412</f>
        <v>1</v>
      </c>
      <c r="T412" s="10">
        <f t="shared" ref="T412:T421" si="226">P412</f>
        <v>0.155</v>
      </c>
      <c r="U412" s="6"/>
      <c r="V412" s="6"/>
      <c r="W412" s="6"/>
      <c r="X412" s="10"/>
      <c r="Y412" s="6"/>
      <c r="Z412" s="10"/>
      <c r="AA412" s="6"/>
      <c r="AB412" s="10"/>
      <c r="AC412" s="6"/>
      <c r="AD412" s="10"/>
      <c r="AE412" s="6"/>
      <c r="AF412" s="6"/>
      <c r="AG412" s="6"/>
      <c r="AH412" s="6"/>
      <c r="AI412" s="4">
        <f t="shared" ref="AI412:AI428" si="227">ROUND((AH412)*0.202,3)</f>
        <v>0</v>
      </c>
      <c r="AJ412" s="21">
        <f t="shared" ref="AJ412" si="228">ROUND((AH412)*1.0457,3)</f>
        <v>0</v>
      </c>
      <c r="AK412" s="6"/>
      <c r="AL412" s="10">
        <f t="shared" ref="AL412:AL428" si="229">SUM(AG412:AK412)</f>
        <v>0</v>
      </c>
      <c r="AM412" s="10"/>
      <c r="AN412" s="6">
        <v>1</v>
      </c>
      <c r="AO412" s="6">
        <v>3.79</v>
      </c>
      <c r="AP412" s="6">
        <f>S412</f>
        <v>1</v>
      </c>
      <c r="AQ412" s="6">
        <f>T412</f>
        <v>0.155</v>
      </c>
    </row>
    <row r="413" spans="1:43">
      <c r="A413" s="37" t="s">
        <v>22</v>
      </c>
      <c r="B413" s="14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4"/>
      <c r="N413" s="21"/>
      <c r="O413" s="6"/>
      <c r="P413" s="10"/>
      <c r="Q413" s="6"/>
      <c r="R413" s="6"/>
      <c r="S413" s="6"/>
      <c r="T413" s="10"/>
      <c r="U413" s="6"/>
      <c r="V413" s="6"/>
      <c r="W413" s="6"/>
      <c r="X413" s="10"/>
      <c r="Y413" s="6"/>
      <c r="Z413" s="10"/>
      <c r="AA413" s="6"/>
      <c r="AB413" s="10"/>
      <c r="AC413" s="6"/>
      <c r="AD413" s="10"/>
      <c r="AE413" s="6"/>
      <c r="AF413" s="6"/>
      <c r="AG413" s="6"/>
      <c r="AH413" s="6"/>
      <c r="AI413" s="4"/>
      <c r="AJ413" s="21"/>
      <c r="AK413" s="6"/>
      <c r="AL413" s="10"/>
      <c r="AM413" s="10"/>
      <c r="AN413" s="6">
        <v>1</v>
      </c>
      <c r="AO413" s="6">
        <v>3.79</v>
      </c>
      <c r="AP413" s="6">
        <f t="shared" ref="AP413:AQ428" si="230">S413</f>
        <v>0</v>
      </c>
      <c r="AQ413" s="6">
        <f t="shared" si="230"/>
        <v>0</v>
      </c>
    </row>
    <row r="414" spans="1:43">
      <c r="A414" s="37" t="s">
        <v>130</v>
      </c>
      <c r="B414" s="14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4"/>
      <c r="N414" s="21"/>
      <c r="O414" s="6"/>
      <c r="P414" s="10"/>
      <c r="Q414" s="6"/>
      <c r="R414" s="6"/>
      <c r="S414" s="6"/>
      <c r="T414" s="10"/>
      <c r="U414" s="6"/>
      <c r="V414" s="6"/>
      <c r="W414" s="6"/>
      <c r="X414" s="10"/>
      <c r="Y414" s="6"/>
      <c r="Z414" s="10"/>
      <c r="AA414" s="6"/>
      <c r="AB414" s="10"/>
      <c r="AC414" s="6">
        <v>2</v>
      </c>
      <c r="AD414" s="10">
        <v>0.16700000000000001</v>
      </c>
      <c r="AE414" s="6"/>
      <c r="AF414" s="6">
        <v>2</v>
      </c>
      <c r="AG414" s="6">
        <v>8.9999999999999993E-3</v>
      </c>
      <c r="AH414" s="6">
        <v>0.12</v>
      </c>
      <c r="AI414" s="4">
        <f t="shared" ref="AI414" si="231">ROUND((AH414)*0.202,3)</f>
        <v>2.4E-2</v>
      </c>
      <c r="AJ414" s="21">
        <f t="shared" ref="AJ414:AJ423" si="232">ROUND((AH414)*0.8138,3)</f>
        <v>9.8000000000000004E-2</v>
      </c>
      <c r="AK414" s="6">
        <v>8.3000000000000004E-2</v>
      </c>
      <c r="AL414" s="10">
        <f t="shared" si="229"/>
        <v>0.33400000000000002</v>
      </c>
      <c r="AM414" s="10"/>
      <c r="AN414" s="6">
        <v>0</v>
      </c>
      <c r="AO414" s="6">
        <v>0</v>
      </c>
      <c r="AP414" s="6">
        <f>AF414</f>
        <v>2</v>
      </c>
      <c r="AQ414" s="10">
        <f>AL414</f>
        <v>0.33400000000000002</v>
      </c>
    </row>
    <row r="415" spans="1:43" s="9" customFormat="1">
      <c r="A415" s="37" t="s">
        <v>131</v>
      </c>
      <c r="B415" s="14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4"/>
      <c r="N415" s="21"/>
      <c r="O415" s="6"/>
      <c r="P415" s="10"/>
      <c r="Q415" s="6"/>
      <c r="R415" s="6"/>
      <c r="S415" s="6"/>
      <c r="T415" s="10"/>
      <c r="U415" s="6"/>
      <c r="V415" s="6"/>
      <c r="W415" s="6"/>
      <c r="X415" s="10"/>
      <c r="Y415" s="6"/>
      <c r="Z415" s="10"/>
      <c r="AA415" s="6"/>
      <c r="AB415" s="10"/>
      <c r="AC415" s="6"/>
      <c r="AD415" s="10"/>
      <c r="AE415" s="6"/>
      <c r="AF415" s="6"/>
      <c r="AG415" s="6"/>
      <c r="AH415" s="6"/>
      <c r="AI415" s="4"/>
      <c r="AJ415" s="21"/>
      <c r="AK415" s="6"/>
      <c r="AL415" s="10"/>
      <c r="AM415" s="10"/>
      <c r="AN415" s="6">
        <v>7</v>
      </c>
      <c r="AO415" s="6">
        <v>26.544</v>
      </c>
      <c r="AP415" s="6">
        <v>4</v>
      </c>
      <c r="AQ415" s="6">
        <v>2.819</v>
      </c>
    </row>
    <row r="416" spans="1:43">
      <c r="A416" s="37" t="s">
        <v>120</v>
      </c>
      <c r="B416" s="14"/>
      <c r="C416" s="6"/>
      <c r="D416" s="6"/>
      <c r="E416" s="6">
        <v>1</v>
      </c>
      <c r="F416" s="6">
        <v>0.27700000000000002</v>
      </c>
      <c r="G416" s="6"/>
      <c r="H416" s="6"/>
      <c r="I416" s="6"/>
      <c r="J416" s="6"/>
      <c r="K416" s="6">
        <v>4.0000000000000001E-3</v>
      </c>
      <c r="L416" s="6">
        <v>0.108</v>
      </c>
      <c r="M416" s="4">
        <f t="shared" si="222"/>
        <v>2.1999999999999999E-2</v>
      </c>
      <c r="N416" s="21">
        <f t="shared" si="223"/>
        <v>0.113</v>
      </c>
      <c r="O416" s="6">
        <v>5.6000000000000001E-2</v>
      </c>
      <c r="P416" s="10">
        <f t="shared" si="224"/>
        <v>0.30299999999999999</v>
      </c>
      <c r="Q416" s="6"/>
      <c r="R416" s="6"/>
      <c r="S416" s="6">
        <f t="shared" si="225"/>
        <v>1</v>
      </c>
      <c r="T416" s="10">
        <f t="shared" si="226"/>
        <v>0.30299999999999999</v>
      </c>
      <c r="U416" s="6"/>
      <c r="V416" s="6"/>
      <c r="W416" s="6"/>
      <c r="X416" s="10"/>
      <c r="Y416" s="6"/>
      <c r="Z416" s="10"/>
      <c r="AA416" s="6"/>
      <c r="AB416" s="10"/>
      <c r="AC416" s="6"/>
      <c r="AD416" s="10"/>
      <c r="AE416" s="6"/>
      <c r="AF416" s="6"/>
      <c r="AG416" s="6"/>
      <c r="AH416" s="6"/>
      <c r="AI416" s="4">
        <f t="shared" si="227"/>
        <v>0</v>
      </c>
      <c r="AJ416" s="21">
        <f t="shared" si="232"/>
        <v>0</v>
      </c>
      <c r="AK416" s="6"/>
      <c r="AL416" s="10">
        <f t="shared" si="229"/>
        <v>0</v>
      </c>
      <c r="AM416" s="10"/>
      <c r="AN416" s="6">
        <v>1</v>
      </c>
      <c r="AO416" s="6">
        <v>3.79</v>
      </c>
      <c r="AP416" s="6">
        <f t="shared" si="230"/>
        <v>1</v>
      </c>
      <c r="AQ416" s="6">
        <f t="shared" si="230"/>
        <v>0.30299999999999999</v>
      </c>
    </row>
    <row r="417" spans="1:43">
      <c r="A417" s="37" t="s">
        <v>142</v>
      </c>
      <c r="B417" s="14"/>
      <c r="C417" s="6"/>
      <c r="D417" s="6"/>
      <c r="E417" s="6">
        <v>1</v>
      </c>
      <c r="F417" s="6">
        <v>0.14000000000000001</v>
      </c>
      <c r="G417" s="6"/>
      <c r="H417" s="6"/>
      <c r="I417" s="6"/>
      <c r="J417" s="6"/>
      <c r="K417" s="6"/>
      <c r="L417" s="6">
        <v>6.9000000000000006E-2</v>
      </c>
      <c r="M417" s="4">
        <f t="shared" si="222"/>
        <v>1.4E-2</v>
      </c>
      <c r="N417" s="21">
        <f t="shared" si="223"/>
        <v>7.1999999999999995E-2</v>
      </c>
      <c r="O417" s="6"/>
      <c r="P417" s="10">
        <f t="shared" si="224"/>
        <v>0.155</v>
      </c>
      <c r="Q417" s="6"/>
      <c r="R417" s="6"/>
      <c r="S417" s="6">
        <f t="shared" si="225"/>
        <v>1</v>
      </c>
      <c r="T417" s="10">
        <f t="shared" si="226"/>
        <v>0.155</v>
      </c>
      <c r="U417" s="6"/>
      <c r="V417" s="6"/>
      <c r="W417" s="6"/>
      <c r="X417" s="10"/>
      <c r="Y417" s="6"/>
      <c r="Z417" s="10"/>
      <c r="AA417" s="6"/>
      <c r="AB417" s="10"/>
      <c r="AC417" s="6"/>
      <c r="AD417" s="10"/>
      <c r="AE417" s="6"/>
      <c r="AF417" s="6"/>
      <c r="AG417" s="6"/>
      <c r="AH417" s="6"/>
      <c r="AI417" s="4">
        <f t="shared" si="227"/>
        <v>0</v>
      </c>
      <c r="AJ417" s="21">
        <f t="shared" si="232"/>
        <v>0</v>
      </c>
      <c r="AK417" s="6"/>
      <c r="AL417" s="10">
        <f t="shared" si="229"/>
        <v>0</v>
      </c>
      <c r="AM417" s="10"/>
      <c r="AN417" s="6">
        <v>0</v>
      </c>
      <c r="AO417" s="6">
        <v>0</v>
      </c>
      <c r="AP417" s="6">
        <f t="shared" si="230"/>
        <v>1</v>
      </c>
      <c r="AQ417" s="6">
        <f t="shared" si="230"/>
        <v>0.155</v>
      </c>
    </row>
    <row r="418" spans="1:43">
      <c r="A418" s="37" t="s">
        <v>132</v>
      </c>
      <c r="B418" s="14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4">
        <f t="shared" si="222"/>
        <v>0</v>
      </c>
      <c r="N418" s="21">
        <f t="shared" si="223"/>
        <v>0</v>
      </c>
      <c r="O418" s="6"/>
      <c r="P418" s="10">
        <f t="shared" si="224"/>
        <v>0</v>
      </c>
      <c r="Q418" s="6"/>
      <c r="R418" s="6"/>
      <c r="S418" s="6">
        <f t="shared" si="225"/>
        <v>0</v>
      </c>
      <c r="T418" s="10">
        <f t="shared" si="226"/>
        <v>0</v>
      </c>
      <c r="U418" s="6"/>
      <c r="V418" s="6"/>
      <c r="W418" s="6"/>
      <c r="X418" s="10"/>
      <c r="Y418" s="6"/>
      <c r="Z418" s="10"/>
      <c r="AA418" s="6"/>
      <c r="AB418" s="10"/>
      <c r="AC418" s="6"/>
      <c r="AD418" s="10"/>
      <c r="AE418" s="6"/>
      <c r="AF418" s="6"/>
      <c r="AG418" s="6"/>
      <c r="AH418" s="6"/>
      <c r="AI418" s="4">
        <f t="shared" si="227"/>
        <v>0</v>
      </c>
      <c r="AJ418" s="21">
        <f t="shared" si="232"/>
        <v>0</v>
      </c>
      <c r="AK418" s="6"/>
      <c r="AL418" s="10">
        <f t="shared" si="229"/>
        <v>0</v>
      </c>
      <c r="AM418" s="10"/>
      <c r="AN418" s="6">
        <v>2</v>
      </c>
      <c r="AO418" s="6">
        <v>7.58</v>
      </c>
      <c r="AP418" s="6">
        <f t="shared" si="230"/>
        <v>0</v>
      </c>
      <c r="AQ418" s="6">
        <f t="shared" si="230"/>
        <v>0</v>
      </c>
    </row>
    <row r="419" spans="1:43">
      <c r="A419" s="37" t="s">
        <v>121</v>
      </c>
      <c r="B419" s="14"/>
      <c r="C419" s="6"/>
      <c r="D419" s="6"/>
      <c r="E419" s="6">
        <v>1</v>
      </c>
      <c r="F419" s="6">
        <v>0.22900000000000001</v>
      </c>
      <c r="G419" s="6"/>
      <c r="H419" s="6"/>
      <c r="I419" s="6"/>
      <c r="J419" s="6"/>
      <c r="K419" s="6">
        <v>8.9999999999999993E-3</v>
      </c>
      <c r="L419" s="6">
        <v>8.7999999999999995E-2</v>
      </c>
      <c r="M419" s="4">
        <f t="shared" si="222"/>
        <v>1.7999999999999999E-2</v>
      </c>
      <c r="N419" s="21">
        <f t="shared" si="223"/>
        <v>9.1999999999999998E-2</v>
      </c>
      <c r="O419" s="6">
        <v>4.2999999999999997E-2</v>
      </c>
      <c r="P419" s="10">
        <f t="shared" si="224"/>
        <v>0.25</v>
      </c>
      <c r="Q419" s="6"/>
      <c r="R419" s="6"/>
      <c r="S419" s="6">
        <f t="shared" si="225"/>
        <v>1</v>
      </c>
      <c r="T419" s="10">
        <f t="shared" si="226"/>
        <v>0.25</v>
      </c>
      <c r="U419" s="6"/>
      <c r="V419" s="6"/>
      <c r="W419" s="6"/>
      <c r="X419" s="10"/>
      <c r="Y419" s="6"/>
      <c r="Z419" s="10"/>
      <c r="AA419" s="6"/>
      <c r="AB419" s="10"/>
      <c r="AC419" s="6"/>
      <c r="AD419" s="10"/>
      <c r="AE419" s="6"/>
      <c r="AF419" s="6">
        <v>1</v>
      </c>
      <c r="AG419" s="6">
        <v>9.4E-2</v>
      </c>
      <c r="AH419" s="6">
        <v>0.12</v>
      </c>
      <c r="AI419" s="4">
        <f t="shared" si="227"/>
        <v>2.4E-2</v>
      </c>
      <c r="AJ419" s="21">
        <f t="shared" si="232"/>
        <v>9.8000000000000004E-2</v>
      </c>
      <c r="AK419" s="6">
        <v>8.3000000000000004E-2</v>
      </c>
      <c r="AL419" s="10">
        <f>SUM(AG419:AK419)+0.001</f>
        <v>0.42</v>
      </c>
      <c r="AM419" s="10"/>
      <c r="AN419" s="6">
        <v>1</v>
      </c>
      <c r="AO419" s="6">
        <v>3.79</v>
      </c>
      <c r="AP419" s="6">
        <v>2</v>
      </c>
      <c r="AQ419" s="6">
        <v>0.35</v>
      </c>
    </row>
    <row r="420" spans="1:43">
      <c r="A420" s="37" t="s">
        <v>141</v>
      </c>
      <c r="B420" s="14"/>
      <c r="C420" s="6"/>
      <c r="D420" s="6"/>
      <c r="E420" s="6">
        <v>1</v>
      </c>
      <c r="F420" s="6">
        <v>0.64600000000000002</v>
      </c>
      <c r="G420" s="6"/>
      <c r="H420" s="6"/>
      <c r="I420" s="6"/>
      <c r="J420" s="6"/>
      <c r="K420" s="6">
        <v>3.5000000000000003E-2</v>
      </c>
      <c r="L420" s="6">
        <v>0.24099999999999999</v>
      </c>
      <c r="M420" s="4">
        <f t="shared" si="222"/>
        <v>4.9000000000000002E-2</v>
      </c>
      <c r="N420" s="21">
        <f t="shared" si="223"/>
        <v>0.252</v>
      </c>
      <c r="O420" s="6">
        <v>0.125</v>
      </c>
      <c r="P420" s="10">
        <f t="shared" si="224"/>
        <v>0.70199999999999996</v>
      </c>
      <c r="Q420" s="6">
        <v>1</v>
      </c>
      <c r="R420" s="6">
        <v>3.79</v>
      </c>
      <c r="S420" s="6">
        <f t="shared" si="225"/>
        <v>1</v>
      </c>
      <c r="T420" s="10">
        <f t="shared" si="226"/>
        <v>0.70199999999999996</v>
      </c>
      <c r="U420" s="6"/>
      <c r="V420" s="6"/>
      <c r="W420" s="6"/>
      <c r="X420" s="10"/>
      <c r="Y420" s="6"/>
      <c r="Z420" s="10"/>
      <c r="AA420" s="6"/>
      <c r="AB420" s="10"/>
      <c r="AC420" s="6"/>
      <c r="AD420" s="10"/>
      <c r="AE420" s="6"/>
      <c r="AF420" s="6"/>
      <c r="AG420" s="6"/>
      <c r="AH420" s="6"/>
      <c r="AI420" s="4">
        <f t="shared" si="227"/>
        <v>0</v>
      </c>
      <c r="AJ420" s="21">
        <f t="shared" si="232"/>
        <v>0</v>
      </c>
      <c r="AK420" s="6"/>
      <c r="AL420" s="10">
        <f t="shared" si="229"/>
        <v>0</v>
      </c>
      <c r="AM420" s="10"/>
      <c r="AN420" s="6">
        <v>1</v>
      </c>
      <c r="AO420" s="6">
        <v>3.79</v>
      </c>
      <c r="AP420" s="6">
        <f t="shared" si="230"/>
        <v>1</v>
      </c>
      <c r="AQ420" s="6">
        <f t="shared" si="230"/>
        <v>0.70199999999999996</v>
      </c>
    </row>
    <row r="421" spans="1:43">
      <c r="A421" s="37" t="s">
        <v>122</v>
      </c>
      <c r="B421" s="14"/>
      <c r="C421" s="6"/>
      <c r="D421" s="6"/>
      <c r="E421" s="6">
        <v>1</v>
      </c>
      <c r="F421" s="6">
        <v>0.14000000000000001</v>
      </c>
      <c r="G421" s="6"/>
      <c r="H421" s="6"/>
      <c r="I421" s="6"/>
      <c r="J421" s="6"/>
      <c r="K421" s="6"/>
      <c r="L421" s="6">
        <v>6.9000000000000006E-2</v>
      </c>
      <c r="M421" s="4">
        <f t="shared" si="222"/>
        <v>1.4E-2</v>
      </c>
      <c r="N421" s="21">
        <f t="shared" si="223"/>
        <v>7.1999999999999995E-2</v>
      </c>
      <c r="O421" s="6"/>
      <c r="P421" s="10">
        <f t="shared" si="224"/>
        <v>0.155</v>
      </c>
      <c r="Q421" s="6"/>
      <c r="R421" s="6"/>
      <c r="S421" s="6">
        <f t="shared" si="225"/>
        <v>1</v>
      </c>
      <c r="T421" s="10">
        <f t="shared" si="226"/>
        <v>0.155</v>
      </c>
      <c r="U421" s="6"/>
      <c r="V421" s="6"/>
      <c r="W421" s="6"/>
      <c r="X421" s="10"/>
      <c r="Y421" s="6"/>
      <c r="Z421" s="10"/>
      <c r="AA421" s="6"/>
      <c r="AB421" s="10"/>
      <c r="AC421" s="6"/>
      <c r="AD421" s="10"/>
      <c r="AE421" s="6"/>
      <c r="AF421" s="6"/>
      <c r="AG421" s="6"/>
      <c r="AH421" s="6"/>
      <c r="AI421" s="4">
        <f t="shared" si="227"/>
        <v>0</v>
      </c>
      <c r="AJ421" s="21">
        <f t="shared" si="232"/>
        <v>0</v>
      </c>
      <c r="AK421" s="6"/>
      <c r="AL421" s="10">
        <f t="shared" si="229"/>
        <v>0</v>
      </c>
      <c r="AM421" s="10"/>
      <c r="AN421" s="6">
        <v>0</v>
      </c>
      <c r="AO421" s="6">
        <v>0</v>
      </c>
      <c r="AP421" s="6">
        <f t="shared" si="230"/>
        <v>1</v>
      </c>
      <c r="AQ421" s="6">
        <f t="shared" si="230"/>
        <v>0.155</v>
      </c>
    </row>
    <row r="422" spans="1:43">
      <c r="A422" s="37" t="s">
        <v>25</v>
      </c>
      <c r="B422" s="14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4">
        <f t="shared" si="222"/>
        <v>0</v>
      </c>
      <c r="N422" s="21">
        <f t="shared" si="223"/>
        <v>0</v>
      </c>
      <c r="O422" s="6"/>
      <c r="P422" s="10">
        <f t="shared" si="224"/>
        <v>0</v>
      </c>
      <c r="Q422" s="6">
        <v>1</v>
      </c>
      <c r="R422" s="6">
        <v>3.8</v>
      </c>
      <c r="S422" s="6"/>
      <c r="T422" s="10"/>
      <c r="U422" s="6"/>
      <c r="V422" s="6"/>
      <c r="W422" s="6"/>
      <c r="X422" s="10"/>
      <c r="Y422" s="6"/>
      <c r="Z422" s="10"/>
      <c r="AA422" s="6"/>
      <c r="AB422" s="10"/>
      <c r="AC422" s="6"/>
      <c r="AD422" s="10"/>
      <c r="AE422" s="6"/>
      <c r="AF422" s="6"/>
      <c r="AG422" s="6"/>
      <c r="AH422" s="6"/>
      <c r="AI422" s="4">
        <f t="shared" si="227"/>
        <v>0</v>
      </c>
      <c r="AJ422" s="21">
        <f t="shared" si="232"/>
        <v>0</v>
      </c>
      <c r="AK422" s="6"/>
      <c r="AL422" s="10">
        <f t="shared" si="229"/>
        <v>0</v>
      </c>
      <c r="AM422" s="10"/>
      <c r="AN422" s="6">
        <v>1</v>
      </c>
      <c r="AO422" s="6">
        <v>3.8</v>
      </c>
      <c r="AP422" s="6">
        <f t="shared" si="230"/>
        <v>0</v>
      </c>
      <c r="AQ422" s="6">
        <f t="shared" si="230"/>
        <v>0</v>
      </c>
    </row>
    <row r="423" spans="1:43">
      <c r="A423" s="37" t="s">
        <v>135</v>
      </c>
      <c r="B423" s="14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4">
        <f t="shared" si="222"/>
        <v>0</v>
      </c>
      <c r="N423" s="21">
        <f t="shared" si="223"/>
        <v>0</v>
      </c>
      <c r="O423" s="6"/>
      <c r="P423" s="10">
        <f t="shared" si="224"/>
        <v>0</v>
      </c>
      <c r="Q423" s="6">
        <v>3</v>
      </c>
      <c r="R423" s="6">
        <v>11.43</v>
      </c>
      <c r="S423" s="6"/>
      <c r="T423" s="10"/>
      <c r="U423" s="6"/>
      <c r="V423" s="6"/>
      <c r="W423" s="6"/>
      <c r="X423" s="10"/>
      <c r="Y423" s="6">
        <v>2</v>
      </c>
      <c r="Z423" s="10">
        <v>0.3</v>
      </c>
      <c r="AA423" s="6">
        <v>2</v>
      </c>
      <c r="AB423" s="10">
        <v>0.3</v>
      </c>
      <c r="AC423" s="6"/>
      <c r="AD423" s="10"/>
      <c r="AE423" s="6"/>
      <c r="AF423" s="6">
        <v>2</v>
      </c>
      <c r="AG423" s="6">
        <v>0.184</v>
      </c>
      <c r="AH423" s="6">
        <v>0.12</v>
      </c>
      <c r="AI423" s="4">
        <f t="shared" si="227"/>
        <v>2.4E-2</v>
      </c>
      <c r="AJ423" s="21">
        <f t="shared" si="232"/>
        <v>9.8000000000000004E-2</v>
      </c>
      <c r="AK423" s="6">
        <v>8.3000000000000004E-2</v>
      </c>
      <c r="AL423" s="10">
        <f>SUM(AG423:AK423)+0.001</f>
        <v>0.51</v>
      </c>
      <c r="AM423" s="10"/>
      <c r="AN423" s="6">
        <v>4</v>
      </c>
      <c r="AO423" s="6">
        <v>14.976000000000001</v>
      </c>
      <c r="AP423" s="6">
        <f>AF423</f>
        <v>2</v>
      </c>
      <c r="AQ423" s="10">
        <f>AL423</f>
        <v>0.51</v>
      </c>
    </row>
    <row r="424" spans="1:43">
      <c r="A424" s="37" t="s">
        <v>125</v>
      </c>
      <c r="B424" s="14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4">
        <f t="shared" si="222"/>
        <v>0</v>
      </c>
      <c r="N424" s="21">
        <f t="shared" si="223"/>
        <v>0</v>
      </c>
      <c r="O424" s="6"/>
      <c r="P424" s="10">
        <f t="shared" si="224"/>
        <v>0</v>
      </c>
      <c r="Q424" s="6">
        <v>3</v>
      </c>
      <c r="R424" s="6">
        <v>11.43</v>
      </c>
      <c r="S424" s="6"/>
      <c r="T424" s="10"/>
      <c r="U424" s="6"/>
      <c r="V424" s="6"/>
      <c r="W424" s="6">
        <v>2</v>
      </c>
      <c r="X424" s="10">
        <v>0.2</v>
      </c>
      <c r="Y424" s="6"/>
      <c r="Z424" s="10"/>
      <c r="AA424" s="6"/>
      <c r="AB424" s="10"/>
      <c r="AC424" s="6"/>
      <c r="AD424" s="10"/>
      <c r="AE424" s="6"/>
      <c r="AF424" s="6">
        <v>2</v>
      </c>
      <c r="AG424" s="6">
        <v>0.18</v>
      </c>
      <c r="AH424" s="6">
        <v>0.24</v>
      </c>
      <c r="AI424" s="4">
        <f t="shared" si="227"/>
        <v>4.8000000000000001E-2</v>
      </c>
      <c r="AJ424" s="21">
        <f>ROUND((AH424)*0.8138,3)</f>
        <v>0.19500000000000001</v>
      </c>
      <c r="AK424" s="6">
        <v>0.16700000000000001</v>
      </c>
      <c r="AL424" s="10">
        <f t="shared" si="229"/>
        <v>0.83000000000000007</v>
      </c>
      <c r="AM424" s="10"/>
      <c r="AN424" s="6">
        <v>3</v>
      </c>
      <c r="AO424" s="6">
        <v>11.43</v>
      </c>
      <c r="AP424" s="6">
        <f>AF424</f>
        <v>2</v>
      </c>
      <c r="AQ424" s="10">
        <f>AL424</f>
        <v>0.83000000000000007</v>
      </c>
    </row>
    <row r="425" spans="1:43">
      <c r="A425" s="37" t="s">
        <v>128</v>
      </c>
      <c r="B425" s="14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4">
        <f t="shared" si="222"/>
        <v>0</v>
      </c>
      <c r="N425" s="21">
        <f t="shared" si="223"/>
        <v>0</v>
      </c>
      <c r="O425" s="6"/>
      <c r="P425" s="10">
        <f t="shared" si="224"/>
        <v>0</v>
      </c>
      <c r="Q425" s="6"/>
      <c r="R425" s="6"/>
      <c r="S425" s="6">
        <f>I425+E425</f>
        <v>0</v>
      </c>
      <c r="T425" s="10">
        <f>P425</f>
        <v>0</v>
      </c>
      <c r="U425" s="6"/>
      <c r="V425" s="6"/>
      <c r="W425" s="6">
        <v>1</v>
      </c>
      <c r="X425" s="10">
        <v>0.1</v>
      </c>
      <c r="Y425" s="6"/>
      <c r="Z425" s="10"/>
      <c r="AA425" s="6"/>
      <c r="AB425" s="10"/>
      <c r="AC425" s="6"/>
      <c r="AD425" s="10"/>
      <c r="AE425" s="6"/>
      <c r="AF425" s="6">
        <v>1</v>
      </c>
      <c r="AG425" s="6">
        <v>8.5999999999999993E-2</v>
      </c>
      <c r="AH425" s="6">
        <v>6.9000000000000006E-2</v>
      </c>
      <c r="AI425" s="4">
        <f t="shared" si="227"/>
        <v>1.4E-2</v>
      </c>
      <c r="AJ425" s="21">
        <f>ROUND((AH425)*0.8138,3)</f>
        <v>5.6000000000000001E-2</v>
      </c>
      <c r="AK425" s="6"/>
      <c r="AL425" s="10">
        <f t="shared" si="229"/>
        <v>0.22500000000000001</v>
      </c>
      <c r="AM425" s="10"/>
      <c r="AN425" s="6">
        <v>0</v>
      </c>
      <c r="AO425" s="6">
        <v>0</v>
      </c>
      <c r="AP425" s="6">
        <f>AF425</f>
        <v>1</v>
      </c>
      <c r="AQ425" s="10">
        <f>AL425</f>
        <v>0.22500000000000001</v>
      </c>
    </row>
    <row r="426" spans="1:43">
      <c r="A426" s="37" t="s">
        <v>129</v>
      </c>
      <c r="B426" s="14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4">
        <f t="shared" si="222"/>
        <v>0</v>
      </c>
      <c r="N426" s="21">
        <f t="shared" si="223"/>
        <v>0</v>
      </c>
      <c r="O426" s="6"/>
      <c r="P426" s="10">
        <f t="shared" si="224"/>
        <v>0</v>
      </c>
      <c r="Q426" s="6"/>
      <c r="R426" s="6"/>
      <c r="S426" s="6">
        <f>I426+E426</f>
        <v>0</v>
      </c>
      <c r="T426" s="10">
        <f>P426</f>
        <v>0</v>
      </c>
      <c r="U426" s="6"/>
      <c r="V426" s="6"/>
      <c r="W426" s="6"/>
      <c r="X426" s="10"/>
      <c r="Y426" s="6"/>
      <c r="Z426" s="10"/>
      <c r="AA426" s="6"/>
      <c r="AB426" s="10"/>
      <c r="AC426" s="6"/>
      <c r="AD426" s="10"/>
      <c r="AE426" s="6"/>
      <c r="AF426" s="6"/>
      <c r="AG426" s="6"/>
      <c r="AH426" s="6"/>
      <c r="AI426" s="4">
        <f t="shared" si="227"/>
        <v>0</v>
      </c>
      <c r="AJ426" s="21">
        <f t="shared" ref="AJ426:AJ429" si="233">ROUND((AH426)*0.8138,3)</f>
        <v>0</v>
      </c>
      <c r="AK426" s="6"/>
      <c r="AL426" s="10">
        <f t="shared" si="229"/>
        <v>0</v>
      </c>
      <c r="AM426" s="10"/>
      <c r="AN426" s="6">
        <v>1</v>
      </c>
      <c r="AO426" s="6">
        <v>3.79</v>
      </c>
      <c r="AP426" s="6">
        <f t="shared" si="230"/>
        <v>0</v>
      </c>
      <c r="AQ426" s="6">
        <f t="shared" si="230"/>
        <v>0</v>
      </c>
    </row>
    <row r="427" spans="1:43">
      <c r="A427" s="37" t="s">
        <v>144</v>
      </c>
      <c r="B427" s="14"/>
      <c r="C427" s="6"/>
      <c r="D427" s="6"/>
      <c r="E427" s="6">
        <v>1</v>
      </c>
      <c r="F427" s="6">
        <v>0.14000000000000001</v>
      </c>
      <c r="G427" s="6"/>
      <c r="H427" s="6"/>
      <c r="I427" s="6"/>
      <c r="J427" s="6"/>
      <c r="K427" s="6"/>
      <c r="L427" s="6">
        <v>6.9000000000000006E-2</v>
      </c>
      <c r="M427" s="4">
        <f t="shared" si="222"/>
        <v>1.4E-2</v>
      </c>
      <c r="N427" s="21">
        <f t="shared" si="223"/>
        <v>7.1999999999999995E-2</v>
      </c>
      <c r="O427" s="6"/>
      <c r="P427" s="10">
        <f t="shared" si="224"/>
        <v>0.155</v>
      </c>
      <c r="Q427" s="6"/>
      <c r="R427" s="6"/>
      <c r="S427" s="6">
        <f>I427+E427</f>
        <v>1</v>
      </c>
      <c r="T427" s="10">
        <f>P427</f>
        <v>0.155</v>
      </c>
      <c r="U427" s="6"/>
      <c r="V427" s="6"/>
      <c r="W427" s="6"/>
      <c r="X427" s="10"/>
      <c r="Y427" s="6"/>
      <c r="Z427" s="10"/>
      <c r="AA427" s="6"/>
      <c r="AB427" s="10"/>
      <c r="AC427" s="6"/>
      <c r="AD427" s="10"/>
      <c r="AE427" s="6"/>
      <c r="AF427" s="6"/>
      <c r="AG427" s="6"/>
      <c r="AH427" s="6"/>
      <c r="AI427" s="4">
        <f t="shared" si="227"/>
        <v>0</v>
      </c>
      <c r="AJ427" s="21">
        <f t="shared" si="233"/>
        <v>0</v>
      </c>
      <c r="AK427" s="6"/>
      <c r="AL427" s="10">
        <f t="shared" si="229"/>
        <v>0</v>
      </c>
      <c r="AM427" s="10"/>
      <c r="AN427" s="6">
        <v>0</v>
      </c>
      <c r="AO427" s="6">
        <v>0</v>
      </c>
      <c r="AP427" s="6">
        <f t="shared" si="230"/>
        <v>1</v>
      </c>
      <c r="AQ427" s="6">
        <f t="shared" si="230"/>
        <v>0.155</v>
      </c>
    </row>
    <row r="428" spans="1:43">
      <c r="A428" s="37" t="s">
        <v>145</v>
      </c>
      <c r="B428" s="14"/>
      <c r="C428" s="6"/>
      <c r="D428" s="6"/>
      <c r="E428" s="6">
        <v>1</v>
      </c>
      <c r="F428" s="6">
        <v>0.22700000000000001</v>
      </c>
      <c r="G428" s="6"/>
      <c r="H428" s="6"/>
      <c r="I428" s="6"/>
      <c r="J428" s="6"/>
      <c r="K428" s="6">
        <v>8.9999999999999993E-3</v>
      </c>
      <c r="L428" s="6">
        <v>8.5999999999999993E-2</v>
      </c>
      <c r="M428" s="4">
        <f t="shared" si="222"/>
        <v>1.7000000000000001E-2</v>
      </c>
      <c r="N428" s="21">
        <f t="shared" si="223"/>
        <v>0.09</v>
      </c>
      <c r="O428" s="6">
        <v>4.4999999999999998E-2</v>
      </c>
      <c r="P428" s="10">
        <f t="shared" si="224"/>
        <v>0.247</v>
      </c>
      <c r="Q428" s="6"/>
      <c r="R428" s="6"/>
      <c r="S428" s="6">
        <f>I428+E428</f>
        <v>1</v>
      </c>
      <c r="T428" s="10">
        <f>P428</f>
        <v>0.247</v>
      </c>
      <c r="U428" s="6"/>
      <c r="V428" s="6"/>
      <c r="W428" s="6"/>
      <c r="X428" s="10"/>
      <c r="Y428" s="6"/>
      <c r="Z428" s="10"/>
      <c r="AA428" s="6"/>
      <c r="AB428" s="10"/>
      <c r="AC428" s="6"/>
      <c r="AD428" s="10"/>
      <c r="AE428" s="6"/>
      <c r="AF428" s="6"/>
      <c r="AG428" s="6"/>
      <c r="AH428" s="6"/>
      <c r="AI428" s="4">
        <f t="shared" si="227"/>
        <v>0</v>
      </c>
      <c r="AJ428" s="21">
        <f t="shared" si="233"/>
        <v>0</v>
      </c>
      <c r="AK428" s="6"/>
      <c r="AL428" s="10">
        <f t="shared" si="229"/>
        <v>0</v>
      </c>
      <c r="AM428" s="10"/>
      <c r="AN428" s="6">
        <v>0</v>
      </c>
      <c r="AO428" s="6">
        <v>0</v>
      </c>
      <c r="AP428" s="6">
        <f t="shared" si="230"/>
        <v>1</v>
      </c>
      <c r="AQ428" s="6">
        <f t="shared" si="230"/>
        <v>0.247</v>
      </c>
    </row>
    <row r="429" spans="1:43" s="9" customFormat="1">
      <c r="A429" s="37" t="s">
        <v>136</v>
      </c>
      <c r="B429" s="14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4"/>
      <c r="N429" s="21"/>
      <c r="O429" s="6"/>
      <c r="P429" s="10"/>
      <c r="Q429" s="6"/>
      <c r="R429" s="6"/>
      <c r="S429" s="6" t="e">
        <f>#REF!+#REF!</f>
        <v>#REF!</v>
      </c>
      <c r="T429" s="6" t="e">
        <f>#REF!+#REF!</f>
        <v>#REF!</v>
      </c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4"/>
      <c r="AJ429" s="21">
        <f t="shared" si="233"/>
        <v>0</v>
      </c>
      <c r="AK429" s="6"/>
      <c r="AL429" s="10"/>
      <c r="AM429" s="10"/>
      <c r="AN429" s="6">
        <v>1</v>
      </c>
      <c r="AO429" s="6">
        <v>3.79</v>
      </c>
      <c r="AP429" s="6">
        <v>4</v>
      </c>
      <c r="AQ429" s="6">
        <v>1.1779999999999999</v>
      </c>
    </row>
    <row r="430" spans="1:43" ht="13.5" customHeight="1">
      <c r="A430" s="51" t="s">
        <v>151</v>
      </c>
      <c r="B430" s="33" t="s">
        <v>35</v>
      </c>
      <c r="C430" s="30">
        <v>4.0000000000000001E-3</v>
      </c>
      <c r="D430" s="30">
        <v>2.0699999999999998</v>
      </c>
      <c r="E430" s="30"/>
      <c r="F430" s="30"/>
      <c r="G430" s="30">
        <v>4.0000000000000001E-3</v>
      </c>
      <c r="H430" s="30">
        <v>2.0699999999999998</v>
      </c>
      <c r="I430" s="30">
        <f>SUM(I436)</f>
        <v>4.0000000000000001E-3</v>
      </c>
      <c r="J430" s="30">
        <f>SUM(J436)</f>
        <v>1.702</v>
      </c>
      <c r="K430" s="30">
        <f t="shared" ref="K430:T430" si="234">SUM(K433:K438)</f>
        <v>1.232</v>
      </c>
      <c r="L430" s="30">
        <f t="shared" si="234"/>
        <v>0.998</v>
      </c>
      <c r="M430" s="30">
        <f t="shared" si="234"/>
        <v>0.20200000000000001</v>
      </c>
      <c r="N430" s="30">
        <f t="shared" si="234"/>
        <v>1.044</v>
      </c>
      <c r="O430" s="30">
        <f t="shared" si="234"/>
        <v>0</v>
      </c>
      <c r="P430" s="30">
        <f t="shared" si="234"/>
        <v>3.476</v>
      </c>
      <c r="Q430" s="30">
        <f t="shared" si="234"/>
        <v>8.0000000000000002E-3</v>
      </c>
      <c r="R430" s="30">
        <f t="shared" si="234"/>
        <v>4.1399999999999997</v>
      </c>
      <c r="S430" s="30">
        <f t="shared" si="234"/>
        <v>8.0000000000000002E-3</v>
      </c>
      <c r="T430" s="30">
        <f t="shared" si="234"/>
        <v>3.476</v>
      </c>
      <c r="U430" s="30"/>
      <c r="V430" s="30"/>
      <c r="W430" s="30">
        <f>SUM(W431:W438)</f>
        <v>4.0000000000000001E-3</v>
      </c>
      <c r="X430" s="30">
        <f>SUM(X433:X438)</f>
        <v>0</v>
      </c>
      <c r="Y430" s="30">
        <f>SUM(Y431:Y438)</f>
        <v>4.0000000000000001E-3</v>
      </c>
      <c r="Z430" s="30">
        <f>SUM(Z433:Z438)</f>
        <v>0.63600000000000001</v>
      </c>
      <c r="AA430" s="30">
        <f>SUM(AA431:AA438)</f>
        <v>4.0000000000000001E-3</v>
      </c>
      <c r="AB430" s="30">
        <f>SUM(AB433:AB438)</f>
        <v>0.63600000000000001</v>
      </c>
      <c r="AC430" s="30">
        <f t="shared" ref="AC430:AD430" si="235">SUM(AC433:AC438)</f>
        <v>0</v>
      </c>
      <c r="AD430" s="30">
        <f t="shared" si="235"/>
        <v>0</v>
      </c>
      <c r="AE430" s="30"/>
      <c r="AF430" s="30">
        <f>SUM(AF431:AF438)</f>
        <v>1.2E-2</v>
      </c>
      <c r="AG430" s="30">
        <f>SUM(AG431:AG438)</f>
        <v>2.2189999999999999</v>
      </c>
      <c r="AH430" s="30">
        <f t="shared" ref="AH430:AL430" si="236">SUM(AH431:AH438)</f>
        <v>1.4969999999999999</v>
      </c>
      <c r="AI430" s="30">
        <f t="shared" si="236"/>
        <v>0.30300000000000005</v>
      </c>
      <c r="AJ430" s="30">
        <f t="shared" si="236"/>
        <v>1.218</v>
      </c>
      <c r="AK430" s="30">
        <f t="shared" si="236"/>
        <v>0</v>
      </c>
      <c r="AL430" s="30">
        <f t="shared" si="236"/>
        <v>5.2349999999999994</v>
      </c>
      <c r="AM430" s="30"/>
      <c r="AN430" s="30">
        <v>0.02</v>
      </c>
      <c r="AO430" s="30">
        <v>10.35</v>
      </c>
      <c r="AP430" s="44">
        <f>SUM(AP431:AP438)</f>
        <v>0.02</v>
      </c>
      <c r="AQ430" s="44">
        <f>SUM(AQ431:AQ438)</f>
        <v>8.7109999999999985</v>
      </c>
    </row>
    <row r="431" spans="1:43">
      <c r="A431" s="37" t="s">
        <v>43</v>
      </c>
      <c r="B431" s="14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>
        <v>4.0000000000000001E-3</v>
      </c>
      <c r="X431" s="6">
        <v>0.3</v>
      </c>
      <c r="Y431" s="6"/>
      <c r="Z431" s="6"/>
      <c r="AA431" s="6"/>
      <c r="AB431" s="6"/>
      <c r="AC431" s="6"/>
      <c r="AD431" s="6"/>
      <c r="AE431" s="6"/>
      <c r="AF431" s="6">
        <v>4.0000000000000001E-3</v>
      </c>
      <c r="AG431" s="6">
        <v>0.69699999999999995</v>
      </c>
      <c r="AH431" s="6">
        <v>0.499</v>
      </c>
      <c r="AI431" s="4">
        <f t="shared" ref="AI431:AI438" si="237">ROUND((AH431)*0.202,3)</f>
        <v>0.10100000000000001</v>
      </c>
      <c r="AJ431" s="21">
        <f>ROUND((AH431)*0.8138,3)</f>
        <v>0.40600000000000003</v>
      </c>
      <c r="AK431" s="6"/>
      <c r="AL431" s="10">
        <f t="shared" ref="AL431:AL438" si="238">SUM(AG431:AK431)</f>
        <v>1.7029999999999998</v>
      </c>
      <c r="AM431" s="10"/>
      <c r="AN431" s="6">
        <v>0</v>
      </c>
      <c r="AO431" s="6">
        <v>0</v>
      </c>
      <c r="AP431" s="6">
        <f>AF431</f>
        <v>4.0000000000000001E-3</v>
      </c>
      <c r="AQ431" s="10">
        <f>AL431</f>
        <v>1.7029999999999998</v>
      </c>
    </row>
    <row r="432" spans="1:43">
      <c r="A432" s="37" t="s">
        <v>130</v>
      </c>
      <c r="B432" s="14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>
        <v>4.0000000000000001E-3</v>
      </c>
      <c r="AD432" s="6">
        <v>0.627</v>
      </c>
      <c r="AE432" s="6"/>
      <c r="AF432" s="6">
        <v>4.0000000000000001E-3</v>
      </c>
      <c r="AG432" s="6">
        <v>0.81399999999999995</v>
      </c>
      <c r="AH432" s="6">
        <v>0.499</v>
      </c>
      <c r="AI432" s="4">
        <f t="shared" si="237"/>
        <v>0.10100000000000001</v>
      </c>
      <c r="AJ432" s="21">
        <f>ROUND((AH432)*0.8138,3)</f>
        <v>0.40600000000000003</v>
      </c>
      <c r="AK432" s="6"/>
      <c r="AL432" s="10">
        <f>SUM(AG432:AK432)-0.001</f>
        <v>1.819</v>
      </c>
      <c r="AM432" s="10"/>
      <c r="AN432" s="6">
        <v>0</v>
      </c>
      <c r="AO432" s="6">
        <v>0</v>
      </c>
      <c r="AP432" s="6">
        <f>AF432</f>
        <v>4.0000000000000001E-3</v>
      </c>
      <c r="AQ432" s="10">
        <f>AL432</f>
        <v>1.819</v>
      </c>
    </row>
    <row r="433" spans="1:43">
      <c r="A433" s="37" t="s">
        <v>36</v>
      </c>
      <c r="B433" s="14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4">
        <f>ROUND((L433)*0.202,3)</f>
        <v>0</v>
      </c>
      <c r="N433" s="21">
        <f>ROUND((L433)*1.0457,3)</f>
        <v>0</v>
      </c>
      <c r="O433" s="6"/>
      <c r="P433" s="10">
        <f>SUM(K433:O433)</f>
        <v>0</v>
      </c>
      <c r="Q433" s="6">
        <v>8.0000000000000002E-3</v>
      </c>
      <c r="R433" s="6">
        <v>4.1399999999999997</v>
      </c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4">
        <f t="shared" si="237"/>
        <v>0</v>
      </c>
      <c r="AJ433" s="21">
        <f>ROUND((AH433)*1.0457,3)</f>
        <v>0</v>
      </c>
      <c r="AK433" s="6"/>
      <c r="AL433" s="10">
        <f t="shared" si="238"/>
        <v>0</v>
      </c>
      <c r="AM433" s="10"/>
      <c r="AN433" s="6">
        <v>8.0000000000000002E-3</v>
      </c>
      <c r="AO433" s="6">
        <v>4.1399999999999997</v>
      </c>
      <c r="AP433" s="6">
        <v>0</v>
      </c>
      <c r="AQ433" s="6">
        <v>0</v>
      </c>
    </row>
    <row r="434" spans="1:43">
      <c r="A434" s="37" t="s">
        <v>38</v>
      </c>
      <c r="B434" s="14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4"/>
      <c r="N434" s="21"/>
      <c r="O434" s="6"/>
      <c r="P434" s="10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4"/>
      <c r="AJ434" s="21"/>
      <c r="AK434" s="6"/>
      <c r="AL434" s="10"/>
      <c r="AM434" s="10"/>
      <c r="AN434" s="6">
        <v>0.01</v>
      </c>
      <c r="AO434" s="6">
        <v>5.1829999999999998</v>
      </c>
      <c r="AP434" s="6">
        <v>0</v>
      </c>
      <c r="AQ434" s="6">
        <v>0</v>
      </c>
    </row>
    <row r="435" spans="1:43">
      <c r="A435" s="37" t="s">
        <v>141</v>
      </c>
      <c r="B435" s="14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4"/>
      <c r="N435" s="21"/>
      <c r="O435" s="6"/>
      <c r="P435" s="10"/>
      <c r="Q435" s="6"/>
      <c r="R435" s="6"/>
      <c r="S435" s="6"/>
      <c r="T435" s="6"/>
      <c r="U435" s="6"/>
      <c r="V435" s="6"/>
      <c r="W435" s="6"/>
      <c r="X435" s="6"/>
      <c r="Y435" s="6">
        <v>4.0000000000000001E-3</v>
      </c>
      <c r="Z435" s="6">
        <v>0.63600000000000001</v>
      </c>
      <c r="AA435" s="6">
        <v>4.0000000000000001E-3</v>
      </c>
      <c r="AB435" s="6">
        <v>0.63600000000000001</v>
      </c>
      <c r="AC435" s="6"/>
      <c r="AD435" s="6"/>
      <c r="AE435" s="6"/>
      <c r="AF435" s="6">
        <v>4.0000000000000001E-3</v>
      </c>
      <c r="AG435" s="6">
        <v>0.70799999999999996</v>
      </c>
      <c r="AH435" s="6">
        <v>0.499</v>
      </c>
      <c r="AI435" s="4">
        <f t="shared" si="237"/>
        <v>0.10100000000000001</v>
      </c>
      <c r="AJ435" s="21">
        <f>ROUND((AH435)*0.8138,3)</f>
        <v>0.40600000000000003</v>
      </c>
      <c r="AK435" s="6"/>
      <c r="AL435" s="10">
        <f>SUM(AG435:AK435)-0.001</f>
        <v>1.7130000000000001</v>
      </c>
      <c r="AM435" s="10"/>
      <c r="AN435" s="6">
        <v>0</v>
      </c>
      <c r="AO435" s="6">
        <v>0</v>
      </c>
      <c r="AP435" s="6">
        <f>AF435</f>
        <v>4.0000000000000001E-3</v>
      </c>
      <c r="AQ435" s="10">
        <f>AL435</f>
        <v>1.7130000000000001</v>
      </c>
    </row>
    <row r="436" spans="1:43">
      <c r="A436" s="37" t="s">
        <v>134</v>
      </c>
      <c r="B436" s="14"/>
      <c r="C436" s="6"/>
      <c r="D436" s="6"/>
      <c r="E436" s="6"/>
      <c r="F436" s="6"/>
      <c r="G436" s="6"/>
      <c r="H436" s="6"/>
      <c r="I436" s="6">
        <v>4.0000000000000001E-3</v>
      </c>
      <c r="J436" s="6">
        <v>1.702</v>
      </c>
      <c r="K436" s="6">
        <v>0.69099999999999995</v>
      </c>
      <c r="L436" s="6">
        <v>0.499</v>
      </c>
      <c r="M436" s="4">
        <f>ROUND((L436)*0.202,3)</f>
        <v>0.10100000000000001</v>
      </c>
      <c r="N436" s="21">
        <f>ROUND((L436)*1.0457,3)</f>
        <v>0.52200000000000002</v>
      </c>
      <c r="O436" s="6"/>
      <c r="P436" s="10">
        <f>SUM(K436:O436)</f>
        <v>1.8129999999999999</v>
      </c>
      <c r="Q436" s="6"/>
      <c r="R436" s="6"/>
      <c r="S436" s="6">
        <f>I436+E436</f>
        <v>4.0000000000000001E-3</v>
      </c>
      <c r="T436" s="10">
        <f>P436</f>
        <v>1.8129999999999999</v>
      </c>
      <c r="U436" s="6"/>
      <c r="V436" s="6"/>
      <c r="W436" s="6"/>
      <c r="X436" s="10"/>
      <c r="Y436" s="6"/>
      <c r="Z436" s="10"/>
      <c r="AA436" s="6"/>
      <c r="AB436" s="10"/>
      <c r="AC436" s="6"/>
      <c r="AD436" s="10"/>
      <c r="AE436" s="6"/>
      <c r="AF436" s="6"/>
      <c r="AG436" s="6"/>
      <c r="AH436" s="6"/>
      <c r="AI436" s="4">
        <f t="shared" si="237"/>
        <v>0</v>
      </c>
      <c r="AJ436" s="21">
        <f>ROUND((AH436)*1.0457,3)</f>
        <v>0</v>
      </c>
      <c r="AK436" s="6"/>
      <c r="AL436" s="10">
        <f t="shared" si="238"/>
        <v>0</v>
      </c>
      <c r="AM436" s="10"/>
      <c r="AN436" s="6">
        <v>0</v>
      </c>
      <c r="AO436" s="6">
        <v>0</v>
      </c>
      <c r="AP436" s="6">
        <f t="shared" ref="AP436:AQ438" si="239">S436</f>
        <v>4.0000000000000001E-3</v>
      </c>
      <c r="AQ436" s="6">
        <f t="shared" si="239"/>
        <v>1.8129999999999999</v>
      </c>
    </row>
    <row r="437" spans="1:43">
      <c r="A437" s="37" t="s">
        <v>51</v>
      </c>
      <c r="B437" s="14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4">
        <f>ROUND((L437)*0.202,3)</f>
        <v>0</v>
      </c>
      <c r="N437" s="21">
        <f>ROUND((L437)*1.0457,3)</f>
        <v>0</v>
      </c>
      <c r="O437" s="6"/>
      <c r="P437" s="10">
        <f>SUM(K437:O437)</f>
        <v>0</v>
      </c>
      <c r="Q437" s="6"/>
      <c r="R437" s="6"/>
      <c r="S437" s="6">
        <f>I437+E437</f>
        <v>0</v>
      </c>
      <c r="T437" s="10">
        <f>P437</f>
        <v>0</v>
      </c>
      <c r="U437" s="6"/>
      <c r="V437" s="6"/>
      <c r="W437" s="6"/>
      <c r="X437" s="10"/>
      <c r="Y437" s="6"/>
      <c r="Z437" s="10"/>
      <c r="AA437" s="6"/>
      <c r="AB437" s="10"/>
      <c r="AC437" s="6"/>
      <c r="AD437" s="10"/>
      <c r="AE437" s="6"/>
      <c r="AF437" s="6"/>
      <c r="AG437" s="6"/>
      <c r="AH437" s="6"/>
      <c r="AI437" s="4">
        <f t="shared" si="237"/>
        <v>0</v>
      </c>
      <c r="AJ437" s="21">
        <f>ROUND((AH437)*1.0457,3)</f>
        <v>0</v>
      </c>
      <c r="AK437" s="6"/>
      <c r="AL437" s="10">
        <f t="shared" si="238"/>
        <v>0</v>
      </c>
      <c r="AM437" s="10"/>
      <c r="AN437" s="6">
        <v>2E-3</v>
      </c>
      <c r="AO437" s="6">
        <v>1.0369999999999999</v>
      </c>
      <c r="AP437" s="6">
        <v>0</v>
      </c>
      <c r="AQ437" s="6">
        <v>0</v>
      </c>
    </row>
    <row r="438" spans="1:43">
      <c r="A438" s="37" t="s">
        <v>27</v>
      </c>
      <c r="B438" s="14"/>
      <c r="C438" s="6"/>
      <c r="D438" s="6"/>
      <c r="E438" s="6">
        <v>4.0000000000000001E-3</v>
      </c>
      <c r="F438" s="6">
        <v>1.546</v>
      </c>
      <c r="G438" s="6"/>
      <c r="H438" s="6"/>
      <c r="I438" s="6"/>
      <c r="J438" s="6"/>
      <c r="K438" s="6">
        <v>0.54100000000000004</v>
      </c>
      <c r="L438" s="6">
        <v>0.499</v>
      </c>
      <c r="M438" s="4">
        <f>ROUND((L438)*0.202,3)</f>
        <v>0.10100000000000001</v>
      </c>
      <c r="N438" s="21">
        <f>ROUND((L438)*1.0457,3)</f>
        <v>0.52200000000000002</v>
      </c>
      <c r="O438" s="6"/>
      <c r="P438" s="10">
        <f>SUM(K438:O438)</f>
        <v>1.663</v>
      </c>
      <c r="Q438" s="6"/>
      <c r="R438" s="6"/>
      <c r="S438" s="6">
        <f>I438+E438</f>
        <v>4.0000000000000001E-3</v>
      </c>
      <c r="T438" s="10">
        <f>P438</f>
        <v>1.663</v>
      </c>
      <c r="U438" s="6"/>
      <c r="V438" s="6"/>
      <c r="W438" s="6"/>
      <c r="X438" s="10"/>
      <c r="Y438" s="6"/>
      <c r="Z438" s="10"/>
      <c r="AA438" s="6"/>
      <c r="AB438" s="10"/>
      <c r="AC438" s="6"/>
      <c r="AD438" s="10"/>
      <c r="AE438" s="6"/>
      <c r="AF438" s="6"/>
      <c r="AG438" s="6"/>
      <c r="AH438" s="6"/>
      <c r="AI438" s="4">
        <f t="shared" si="237"/>
        <v>0</v>
      </c>
      <c r="AJ438" s="21">
        <f>ROUND((AH438)*1.0457,3)</f>
        <v>0</v>
      </c>
      <c r="AK438" s="6"/>
      <c r="AL438" s="10">
        <f t="shared" si="238"/>
        <v>0</v>
      </c>
      <c r="AM438" s="10"/>
      <c r="AN438" s="6">
        <v>0</v>
      </c>
      <c r="AO438" s="6">
        <v>0</v>
      </c>
      <c r="AP438" s="6">
        <f t="shared" si="239"/>
        <v>4.0000000000000001E-3</v>
      </c>
      <c r="AQ438" s="6">
        <f t="shared" si="239"/>
        <v>1.663</v>
      </c>
    </row>
    <row r="439" spans="1:43" ht="22.5" customHeight="1">
      <c r="A439" s="42" t="s">
        <v>93</v>
      </c>
      <c r="B439" s="24"/>
      <c r="C439" s="11"/>
      <c r="D439" s="6"/>
      <c r="E439" s="6"/>
      <c r="F439" s="6"/>
      <c r="G439" s="11"/>
      <c r="H439" s="6"/>
      <c r="I439" s="6"/>
      <c r="J439" s="6"/>
      <c r="K439" s="6"/>
      <c r="L439" s="6"/>
      <c r="M439" s="6"/>
      <c r="N439" s="6"/>
      <c r="O439" s="6"/>
      <c r="P439" s="6"/>
      <c r="Q439" s="11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11"/>
      <c r="AO439" s="6"/>
      <c r="AP439" s="6"/>
      <c r="AQ439" s="6"/>
    </row>
    <row r="440" spans="1:43" ht="14.25" customHeight="1">
      <c r="A440" s="42" t="s">
        <v>94</v>
      </c>
      <c r="B440" s="24" t="s">
        <v>72</v>
      </c>
      <c r="C440" s="11">
        <v>2</v>
      </c>
      <c r="D440" s="6">
        <v>40</v>
      </c>
      <c r="E440" s="6"/>
      <c r="F440" s="6"/>
      <c r="G440" s="11">
        <v>2</v>
      </c>
      <c r="H440" s="6">
        <v>40</v>
      </c>
      <c r="I440" s="6"/>
      <c r="J440" s="6"/>
      <c r="K440" s="6"/>
      <c r="L440" s="6"/>
      <c r="M440" s="6"/>
      <c r="N440" s="6"/>
      <c r="O440" s="6"/>
      <c r="P440" s="6"/>
      <c r="Q440" s="11">
        <v>4</v>
      </c>
      <c r="R440" s="6">
        <v>80</v>
      </c>
      <c r="S440" s="6"/>
      <c r="T440" s="6"/>
      <c r="U440" s="6"/>
      <c r="V440" s="6"/>
      <c r="W440" s="6">
        <f t="shared" ref="W440:AB440" si="240">SUM(W441)</f>
        <v>2</v>
      </c>
      <c r="X440" s="6">
        <f t="shared" si="240"/>
        <v>18</v>
      </c>
      <c r="Y440" s="6">
        <f t="shared" si="240"/>
        <v>0</v>
      </c>
      <c r="Z440" s="6">
        <f t="shared" si="240"/>
        <v>0</v>
      </c>
      <c r="AA440" s="6">
        <f t="shared" si="240"/>
        <v>0</v>
      </c>
      <c r="AB440" s="6">
        <f t="shared" si="240"/>
        <v>0</v>
      </c>
      <c r="AC440" s="6"/>
      <c r="AD440" s="6"/>
      <c r="AE440" s="6"/>
      <c r="AF440" s="6">
        <f>SUM(AF441)</f>
        <v>0</v>
      </c>
      <c r="AG440" s="6"/>
      <c r="AH440" s="6"/>
      <c r="AI440" s="6"/>
      <c r="AJ440" s="6"/>
      <c r="AK440" s="6"/>
      <c r="AL440" s="6"/>
      <c r="AM440" s="6"/>
      <c r="AN440" s="11">
        <v>10</v>
      </c>
      <c r="AO440" s="49">
        <v>200</v>
      </c>
      <c r="AP440" s="30">
        <f>AP441</f>
        <v>2</v>
      </c>
      <c r="AQ440" s="49">
        <f>AQ441</f>
        <v>18</v>
      </c>
    </row>
    <row r="441" spans="1:43" ht="14.25" customHeight="1">
      <c r="A441" s="43" t="s">
        <v>131</v>
      </c>
      <c r="B441" s="24"/>
      <c r="C441" s="11"/>
      <c r="D441" s="6"/>
      <c r="E441" s="6"/>
      <c r="F441" s="6"/>
      <c r="G441" s="11"/>
      <c r="H441" s="6"/>
      <c r="I441" s="6"/>
      <c r="J441" s="6"/>
      <c r="K441" s="6"/>
      <c r="L441" s="6"/>
      <c r="M441" s="6"/>
      <c r="N441" s="6"/>
      <c r="O441" s="6"/>
      <c r="P441" s="6"/>
      <c r="Q441" s="11">
        <v>4</v>
      </c>
      <c r="R441" s="6">
        <v>80</v>
      </c>
      <c r="S441" s="6"/>
      <c r="T441" s="6"/>
      <c r="U441" s="6"/>
      <c r="V441" s="6"/>
      <c r="W441" s="6">
        <v>2</v>
      </c>
      <c r="X441" s="6">
        <v>18</v>
      </c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25">
        <v>10</v>
      </c>
      <c r="AO441" s="22">
        <v>200</v>
      </c>
      <c r="AP441" s="6">
        <v>2</v>
      </c>
      <c r="AQ441" s="22">
        <v>18</v>
      </c>
    </row>
    <row r="442" spans="1:43" ht="14.25" customHeight="1">
      <c r="A442" s="42" t="s">
        <v>95</v>
      </c>
      <c r="B442" s="24" t="s">
        <v>72</v>
      </c>
      <c r="C442" s="11">
        <v>2</v>
      </c>
      <c r="D442" s="6">
        <v>40</v>
      </c>
      <c r="E442" s="6"/>
      <c r="F442" s="6"/>
      <c r="G442" s="11">
        <v>2</v>
      </c>
      <c r="H442" s="6">
        <v>40</v>
      </c>
      <c r="I442" s="6"/>
      <c r="J442" s="6"/>
      <c r="K442" s="6"/>
      <c r="L442" s="6"/>
      <c r="M442" s="6"/>
      <c r="N442" s="6"/>
      <c r="O442" s="6"/>
      <c r="P442" s="6"/>
      <c r="Q442" s="11">
        <v>4</v>
      </c>
      <c r="R442" s="6">
        <v>80</v>
      </c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55">
        <v>8</v>
      </c>
      <c r="AO442" s="49">
        <v>160</v>
      </c>
      <c r="AP442" s="30">
        <v>0</v>
      </c>
      <c r="AQ442" s="30">
        <v>0</v>
      </c>
    </row>
    <row r="443" spans="1:43" ht="14.25" customHeight="1">
      <c r="A443" s="43" t="s">
        <v>51</v>
      </c>
      <c r="B443" s="24"/>
      <c r="C443" s="11"/>
      <c r="D443" s="6"/>
      <c r="E443" s="6"/>
      <c r="F443" s="6"/>
      <c r="G443" s="11"/>
      <c r="H443" s="6"/>
      <c r="I443" s="6"/>
      <c r="J443" s="6"/>
      <c r="K443" s="6"/>
      <c r="L443" s="6"/>
      <c r="M443" s="6"/>
      <c r="N443" s="6"/>
      <c r="O443" s="6"/>
      <c r="P443" s="6"/>
      <c r="Q443" s="11">
        <v>4</v>
      </c>
      <c r="R443" s="6">
        <v>80</v>
      </c>
      <c r="S443" s="6"/>
      <c r="T443" s="6"/>
      <c r="U443" s="6"/>
      <c r="V443" s="6"/>
      <c r="W443" s="6">
        <v>2</v>
      </c>
      <c r="X443" s="6">
        <v>22</v>
      </c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25">
        <v>8</v>
      </c>
      <c r="AO443" s="22">
        <v>160</v>
      </c>
      <c r="AP443" s="6">
        <v>0</v>
      </c>
      <c r="AQ443" s="6">
        <v>0</v>
      </c>
    </row>
    <row r="444" spans="1:43" ht="14.25" customHeight="1">
      <c r="A444" s="42" t="s">
        <v>96</v>
      </c>
      <c r="B444" s="24" t="s">
        <v>72</v>
      </c>
      <c r="C444" s="11">
        <v>2</v>
      </c>
      <c r="D444" s="6">
        <v>100</v>
      </c>
      <c r="E444" s="6"/>
      <c r="F444" s="6"/>
      <c r="G444" s="11">
        <v>2</v>
      </c>
      <c r="H444" s="6">
        <v>100</v>
      </c>
      <c r="I444" s="6"/>
      <c r="J444" s="6"/>
      <c r="K444" s="6"/>
      <c r="L444" s="6"/>
      <c r="M444" s="6"/>
      <c r="N444" s="6"/>
      <c r="O444" s="6"/>
      <c r="P444" s="6"/>
      <c r="Q444" s="11">
        <v>2</v>
      </c>
      <c r="R444" s="6">
        <v>100</v>
      </c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11">
        <v>6</v>
      </c>
      <c r="AO444" s="49">
        <v>300</v>
      </c>
      <c r="AP444" s="30">
        <f>SUM(AP445:AP449)</f>
        <v>8</v>
      </c>
      <c r="AQ444" s="49">
        <f>SUM(AQ445:AQ449)</f>
        <v>120</v>
      </c>
    </row>
    <row r="445" spans="1:43" s="3" customFormat="1" ht="14.25" customHeight="1">
      <c r="A445" s="41" t="s">
        <v>50</v>
      </c>
      <c r="B445" s="24"/>
      <c r="C445" s="11"/>
      <c r="D445" s="6"/>
      <c r="E445" s="6"/>
      <c r="F445" s="6"/>
      <c r="G445" s="11"/>
      <c r="H445" s="6"/>
      <c r="I445" s="6"/>
      <c r="J445" s="6"/>
      <c r="K445" s="6"/>
      <c r="L445" s="6"/>
      <c r="M445" s="6"/>
      <c r="N445" s="6"/>
      <c r="O445" s="6"/>
      <c r="P445" s="6"/>
      <c r="Q445" s="11"/>
      <c r="R445" s="6"/>
      <c r="S445" s="6"/>
      <c r="T445" s="6"/>
      <c r="U445" s="6"/>
      <c r="V445" s="6"/>
      <c r="W445" s="6">
        <v>2</v>
      </c>
      <c r="X445" s="6">
        <v>30</v>
      </c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25">
        <v>2</v>
      </c>
      <c r="AO445" s="22">
        <v>100</v>
      </c>
      <c r="AP445" s="6">
        <v>2</v>
      </c>
      <c r="AQ445" s="22">
        <v>30</v>
      </c>
    </row>
    <row r="446" spans="1:43" s="3" customFormat="1" ht="14.25" customHeight="1">
      <c r="A446" s="41" t="s">
        <v>25</v>
      </c>
      <c r="B446" s="24"/>
      <c r="C446" s="11"/>
      <c r="D446" s="6"/>
      <c r="E446" s="6"/>
      <c r="F446" s="6"/>
      <c r="G446" s="11"/>
      <c r="H446" s="6"/>
      <c r="I446" s="6"/>
      <c r="J446" s="6"/>
      <c r="K446" s="6"/>
      <c r="L446" s="6"/>
      <c r="M446" s="6"/>
      <c r="N446" s="6"/>
      <c r="O446" s="6"/>
      <c r="P446" s="6"/>
      <c r="Q446" s="11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>
        <v>2</v>
      </c>
      <c r="AD446" s="6">
        <v>60</v>
      </c>
      <c r="AE446" s="6"/>
      <c r="AF446" s="6"/>
      <c r="AG446" s="6"/>
      <c r="AH446" s="6"/>
      <c r="AI446" s="6"/>
      <c r="AJ446" s="6"/>
      <c r="AK446" s="6"/>
      <c r="AL446" s="6"/>
      <c r="AM446" s="6"/>
      <c r="AN446" s="25">
        <v>2</v>
      </c>
      <c r="AO446" s="22">
        <v>100</v>
      </c>
      <c r="AP446" s="6">
        <f>AC446</f>
        <v>2</v>
      </c>
      <c r="AQ446" s="22">
        <v>30</v>
      </c>
    </row>
    <row r="447" spans="1:43" s="3" customFormat="1" ht="14.25" customHeight="1">
      <c r="A447" s="41" t="s">
        <v>27</v>
      </c>
      <c r="B447" s="24"/>
      <c r="C447" s="11"/>
      <c r="D447" s="6"/>
      <c r="E447" s="6"/>
      <c r="F447" s="6"/>
      <c r="G447" s="11"/>
      <c r="H447" s="6"/>
      <c r="I447" s="6"/>
      <c r="J447" s="6"/>
      <c r="K447" s="6"/>
      <c r="L447" s="6"/>
      <c r="M447" s="6"/>
      <c r="N447" s="6"/>
      <c r="O447" s="6"/>
      <c r="P447" s="6"/>
      <c r="Q447" s="11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>
        <v>2</v>
      </c>
      <c r="AD447" s="6">
        <v>60</v>
      </c>
      <c r="AE447" s="6"/>
      <c r="AF447" s="6"/>
      <c r="AG447" s="6"/>
      <c r="AH447" s="6"/>
      <c r="AI447" s="6"/>
      <c r="AJ447" s="6"/>
      <c r="AK447" s="6"/>
      <c r="AL447" s="6"/>
      <c r="AM447" s="6"/>
      <c r="AN447" s="25">
        <v>0</v>
      </c>
      <c r="AO447" s="6">
        <v>0</v>
      </c>
      <c r="AP447" s="6">
        <f>AC447</f>
        <v>2</v>
      </c>
      <c r="AQ447" s="22">
        <v>30</v>
      </c>
    </row>
    <row r="448" spans="1:43" s="3" customFormat="1" ht="14.25" customHeight="1">
      <c r="A448" s="41" t="s">
        <v>57</v>
      </c>
      <c r="B448" s="24"/>
      <c r="C448" s="11"/>
      <c r="D448" s="6"/>
      <c r="E448" s="6"/>
      <c r="F448" s="6"/>
      <c r="G448" s="11"/>
      <c r="H448" s="6"/>
      <c r="I448" s="6"/>
      <c r="J448" s="6"/>
      <c r="K448" s="6"/>
      <c r="L448" s="6"/>
      <c r="M448" s="6"/>
      <c r="N448" s="6"/>
      <c r="O448" s="6"/>
      <c r="P448" s="6"/>
      <c r="Q448" s="11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25">
        <v>0</v>
      </c>
      <c r="AO448" s="6">
        <v>0</v>
      </c>
      <c r="AP448" s="6">
        <v>2</v>
      </c>
      <c r="AQ448" s="22">
        <v>30</v>
      </c>
    </row>
    <row r="449" spans="1:43" ht="12">
      <c r="A449" s="43" t="s">
        <v>29</v>
      </c>
      <c r="B449" s="14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>
        <v>2</v>
      </c>
      <c r="R449" s="6">
        <v>100</v>
      </c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>
        <v>2</v>
      </c>
      <c r="AO449" s="22">
        <v>100</v>
      </c>
      <c r="AP449" s="6">
        <v>0</v>
      </c>
      <c r="AQ449" s="6">
        <v>0</v>
      </c>
    </row>
    <row r="450" spans="1:43" ht="12">
      <c r="A450" s="47" t="s">
        <v>97</v>
      </c>
      <c r="B450" s="33" t="s">
        <v>137</v>
      </c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>
        <f t="shared" ref="AG450:AL450" si="241">SUM(AG451:AG452)</f>
        <v>3.3359999999999999</v>
      </c>
      <c r="AH450" s="30">
        <f t="shared" si="241"/>
        <v>1.3740000000000001</v>
      </c>
      <c r="AI450" s="30">
        <f t="shared" si="241"/>
        <v>0.27800000000000002</v>
      </c>
      <c r="AJ450" s="30">
        <f t="shared" si="241"/>
        <v>1.1179999999999999</v>
      </c>
      <c r="AK450" s="30">
        <f t="shared" si="241"/>
        <v>0.13700000000000001</v>
      </c>
      <c r="AL450" s="30">
        <f t="shared" si="241"/>
        <v>6.2429999999999986</v>
      </c>
      <c r="AM450" s="30"/>
      <c r="AN450" s="30">
        <v>0</v>
      </c>
      <c r="AO450" s="30">
        <v>0</v>
      </c>
      <c r="AP450" s="30">
        <f>SUM(AP451:AP452)</f>
        <v>5.2000000000000005E-2</v>
      </c>
      <c r="AQ450" s="30">
        <f>SUM(AQ451:AQ452)</f>
        <v>6.2429999999999986</v>
      </c>
    </row>
    <row r="451" spans="1:43">
      <c r="A451" s="37" t="s">
        <v>27</v>
      </c>
      <c r="B451" s="14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>
        <v>1.7000000000000001E-2</v>
      </c>
      <c r="AG451" s="6">
        <v>1.169</v>
      </c>
      <c r="AH451" s="6">
        <v>0.44900000000000001</v>
      </c>
      <c r="AI451" s="4">
        <f t="shared" ref="AI451:AI452" si="242">ROUND((AH451)*0.202,3)</f>
        <v>9.0999999999999998E-2</v>
      </c>
      <c r="AJ451" s="21">
        <f t="shared" ref="AJ451:AJ452" si="243">ROUND((AH451)*0.8138,3)</f>
        <v>0.36499999999999999</v>
      </c>
      <c r="AK451" s="6">
        <v>4.4999999999999998E-2</v>
      </c>
      <c r="AL451" s="10">
        <f t="shared" ref="AL451:AL452" si="244">SUM(AG451:AK451)</f>
        <v>2.1189999999999998</v>
      </c>
      <c r="AM451" s="10"/>
      <c r="AN451" s="6">
        <v>0</v>
      </c>
      <c r="AO451" s="6">
        <v>0</v>
      </c>
      <c r="AP451" s="6">
        <f>AF451</f>
        <v>1.7000000000000001E-2</v>
      </c>
      <c r="AQ451" s="10">
        <f>AL451</f>
        <v>2.1189999999999998</v>
      </c>
    </row>
    <row r="452" spans="1:43">
      <c r="A452" s="37" t="s">
        <v>29</v>
      </c>
      <c r="B452" s="14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>
        <v>3.5000000000000003E-2</v>
      </c>
      <c r="AG452" s="6">
        <v>2.1669999999999998</v>
      </c>
      <c r="AH452" s="6">
        <v>0.92500000000000004</v>
      </c>
      <c r="AI452" s="4">
        <f t="shared" si="242"/>
        <v>0.187</v>
      </c>
      <c r="AJ452" s="21">
        <f t="shared" si="243"/>
        <v>0.753</v>
      </c>
      <c r="AK452" s="6">
        <v>9.1999999999999998E-2</v>
      </c>
      <c r="AL452" s="10">
        <f t="shared" si="244"/>
        <v>4.1239999999999988</v>
      </c>
      <c r="AM452" s="10"/>
      <c r="AN452" s="6">
        <v>0</v>
      </c>
      <c r="AO452" s="6">
        <v>0</v>
      </c>
      <c r="AP452" s="6">
        <f>AF452</f>
        <v>3.5000000000000003E-2</v>
      </c>
      <c r="AQ452" s="10">
        <f>AL452</f>
        <v>4.1239999999999988</v>
      </c>
    </row>
    <row r="453" spans="1:43" ht="12">
      <c r="A453" s="39" t="s">
        <v>98</v>
      </c>
      <c r="B453" s="33" t="s">
        <v>17</v>
      </c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>
        <f>SUM(Y454:Y457)</f>
        <v>1.125E-2</v>
      </c>
      <c r="Z453" s="30">
        <f>SUM(Z454:Z457)</f>
        <v>0.3</v>
      </c>
      <c r="AA453" s="30">
        <f>SUM(AA454:AA457)</f>
        <v>1.125E-2</v>
      </c>
      <c r="AB453" s="30">
        <f>SUM(AB454:AB457)</f>
        <v>0.3</v>
      </c>
      <c r="AC453" s="30"/>
      <c r="AD453" s="30"/>
      <c r="AE453" s="30"/>
      <c r="AF453" s="30">
        <f>SUM(AF454:AF457)</f>
        <v>1.125E-2</v>
      </c>
      <c r="AG453" s="30"/>
      <c r="AH453" s="30"/>
      <c r="AI453" s="30"/>
      <c r="AJ453" s="30"/>
      <c r="AK453" s="30"/>
      <c r="AL453" s="30"/>
      <c r="AM453" s="30"/>
      <c r="AN453" s="30">
        <v>0</v>
      </c>
      <c r="AO453" s="30">
        <v>0</v>
      </c>
      <c r="AP453" s="44">
        <f>SUM(AP454:AP457)</f>
        <v>5.1249999999999997E-2</v>
      </c>
      <c r="AQ453" s="44">
        <f>SUM(AQ454:AQ457)</f>
        <v>0.7</v>
      </c>
    </row>
    <row r="454" spans="1:43" ht="12">
      <c r="A454" s="37" t="s">
        <v>22</v>
      </c>
      <c r="B454" s="14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>
        <v>5.6249999999999998E-3</v>
      </c>
      <c r="Z454" s="6">
        <v>0.15</v>
      </c>
      <c r="AA454" s="6">
        <v>5.6249999999999998E-3</v>
      </c>
      <c r="AB454" s="6">
        <v>0.15</v>
      </c>
      <c r="AC454" s="6"/>
      <c r="AD454" s="6"/>
      <c r="AE454" s="6"/>
      <c r="AF454" s="6">
        <v>5.6249999999999998E-3</v>
      </c>
      <c r="AG454" s="6"/>
      <c r="AH454" s="6"/>
      <c r="AI454" s="6"/>
      <c r="AJ454" s="6"/>
      <c r="AK454" s="6"/>
      <c r="AL454" s="6"/>
      <c r="AM454" s="6"/>
      <c r="AN454" s="6">
        <v>0</v>
      </c>
      <c r="AO454" s="6">
        <v>0</v>
      </c>
      <c r="AP454" s="6">
        <f>AF454</f>
        <v>5.6249999999999998E-3</v>
      </c>
      <c r="AQ454" s="6">
        <v>0.115</v>
      </c>
    </row>
    <row r="455" spans="1:43" ht="12">
      <c r="A455" s="37" t="s">
        <v>44</v>
      </c>
      <c r="B455" s="14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>
        <v>0.02</v>
      </c>
      <c r="AD455" s="6">
        <v>0.13500000000000001</v>
      </c>
      <c r="AE455" s="6"/>
      <c r="AF455" s="6"/>
      <c r="AG455" s="6"/>
      <c r="AH455" s="6"/>
      <c r="AI455" s="6"/>
      <c r="AJ455" s="6"/>
      <c r="AK455" s="6"/>
      <c r="AL455" s="6"/>
      <c r="AM455" s="6"/>
      <c r="AN455" s="6">
        <v>0</v>
      </c>
      <c r="AO455" s="6">
        <v>0</v>
      </c>
      <c r="AP455" s="6">
        <v>0.02</v>
      </c>
      <c r="AQ455" s="6">
        <v>0.23499999999999999</v>
      </c>
    </row>
    <row r="456" spans="1:43" ht="12">
      <c r="A456" s="37" t="s">
        <v>53</v>
      </c>
      <c r="B456" s="14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>
        <v>0.02</v>
      </c>
      <c r="AD456" s="6">
        <v>0.13500000000000001</v>
      </c>
      <c r="AE456" s="6"/>
      <c r="AF456" s="6"/>
      <c r="AG456" s="6"/>
      <c r="AH456" s="6"/>
      <c r="AI456" s="6"/>
      <c r="AJ456" s="6"/>
      <c r="AK456" s="6"/>
      <c r="AL456" s="6"/>
      <c r="AM456" s="6"/>
      <c r="AN456" s="6">
        <v>0</v>
      </c>
      <c r="AO456" s="6">
        <v>0</v>
      </c>
      <c r="AP456" s="6">
        <v>0.02</v>
      </c>
      <c r="AQ456" s="6">
        <v>0.23499999999999999</v>
      </c>
    </row>
    <row r="457" spans="1:43" ht="12">
      <c r="A457" s="37" t="s">
        <v>55</v>
      </c>
      <c r="B457" s="14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>
        <v>5.6249999999999998E-3</v>
      </c>
      <c r="Z457" s="6">
        <v>0.15</v>
      </c>
      <c r="AA457" s="6">
        <v>5.6249999999999998E-3</v>
      </c>
      <c r="AB457" s="6">
        <v>0.15</v>
      </c>
      <c r="AC457" s="6"/>
      <c r="AD457" s="6"/>
      <c r="AE457" s="6"/>
      <c r="AF457" s="6">
        <v>5.6249999999999998E-3</v>
      </c>
      <c r="AG457" s="6"/>
      <c r="AH457" s="6"/>
      <c r="AI457" s="6"/>
      <c r="AJ457" s="6"/>
      <c r="AK457" s="6"/>
      <c r="AL457" s="6"/>
      <c r="AM457" s="6"/>
      <c r="AN457" s="6">
        <v>0</v>
      </c>
      <c r="AO457" s="6">
        <v>0</v>
      </c>
      <c r="AP457" s="6">
        <f>AF457</f>
        <v>5.6249999999999998E-3</v>
      </c>
      <c r="AQ457" s="6">
        <v>0.115</v>
      </c>
    </row>
    <row r="458" spans="1:43" ht="12">
      <c r="A458" s="39" t="s">
        <v>99</v>
      </c>
      <c r="B458" s="33" t="s">
        <v>17</v>
      </c>
      <c r="C458" s="30"/>
      <c r="D458" s="30"/>
      <c r="E458" s="30">
        <f>SUM(E461:E473)</f>
        <v>0</v>
      </c>
      <c r="F458" s="30">
        <f>SUM(F461:F471)</f>
        <v>0</v>
      </c>
      <c r="G458" s="30"/>
      <c r="H458" s="30"/>
      <c r="I458" s="30">
        <f>SUM(I461:I473)</f>
        <v>2.5000000000000001E-2</v>
      </c>
      <c r="J458" s="30">
        <f>SUM(J461:J471)</f>
        <v>2.5350000000000001</v>
      </c>
      <c r="K458" s="30">
        <f t="shared" ref="K458:R458" si="245">SUM(K461:K473)</f>
        <v>1.1500000000000001</v>
      </c>
      <c r="L458" s="30">
        <f t="shared" si="245"/>
        <v>0.66</v>
      </c>
      <c r="M458" s="30">
        <f t="shared" si="245"/>
        <v>0.13400000000000001</v>
      </c>
      <c r="N458" s="30">
        <f t="shared" si="245"/>
        <v>0.69000000000000006</v>
      </c>
      <c r="O458" s="30">
        <f t="shared" si="245"/>
        <v>5.5999999999999994E-2</v>
      </c>
      <c r="P458" s="30">
        <f t="shared" si="245"/>
        <v>2.6900000000000004</v>
      </c>
      <c r="Q458" s="30">
        <f t="shared" si="245"/>
        <v>0</v>
      </c>
      <c r="R458" s="30">
        <f t="shared" si="245"/>
        <v>0</v>
      </c>
      <c r="S458" s="30" t="e">
        <f>SUM(S461:S471)-S468-S471</f>
        <v>#REF!</v>
      </c>
      <c r="T458" s="30" t="e">
        <f>SUM(T461:T471)-T468-T471</f>
        <v>#REF!</v>
      </c>
      <c r="U458" s="30"/>
      <c r="V458" s="30"/>
      <c r="W458" s="30">
        <f t="shared" ref="W458:AB458" si="246">SUM(W461:W471)-W468-W471</f>
        <v>0.08</v>
      </c>
      <c r="X458" s="30">
        <f t="shared" si="246"/>
        <v>26.4</v>
      </c>
      <c r="Y458" s="30">
        <f t="shared" si="246"/>
        <v>0</v>
      </c>
      <c r="Z458" s="30">
        <f t="shared" si="246"/>
        <v>0</v>
      </c>
      <c r="AA458" s="30">
        <f t="shared" si="246"/>
        <v>0</v>
      </c>
      <c r="AB458" s="30">
        <f t="shared" si="246"/>
        <v>0</v>
      </c>
      <c r="AC458" s="30">
        <f>SUM(AC461:AC475)-AC468-AC471</f>
        <v>0.13239999999999999</v>
      </c>
      <c r="AD458" s="30">
        <f>SUM(AD461:AD475)-AD468-AD471</f>
        <v>45.423999999999999</v>
      </c>
      <c r="AE458" s="30"/>
      <c r="AF458" s="30">
        <f>SUM(AF461:AF471)-AF468-AF471</f>
        <v>6.0000000000000001E-3</v>
      </c>
      <c r="AG458" s="30">
        <f t="shared" ref="AG458:AL458" si="247">SUM(AG461:AG473)</f>
        <v>0.86699999999999999</v>
      </c>
      <c r="AH458" s="30">
        <f t="shared" si="247"/>
        <v>0.158</v>
      </c>
      <c r="AI458" s="30">
        <f t="shared" si="247"/>
        <v>3.2000000000000001E-2</v>
      </c>
      <c r="AJ458" s="30">
        <f t="shared" si="247"/>
        <v>0.129</v>
      </c>
      <c r="AK458" s="30">
        <f t="shared" si="247"/>
        <v>1.4E-2</v>
      </c>
      <c r="AL458" s="30">
        <f t="shared" si="247"/>
        <v>1.1990000000000001</v>
      </c>
      <c r="AM458" s="30"/>
      <c r="AN458" s="44">
        <f>SUM(AN459:AN475)</f>
        <v>0.24000000000000002</v>
      </c>
      <c r="AO458" s="30">
        <f>SUM(AO459:AO475)</f>
        <v>69.12</v>
      </c>
      <c r="AP458" s="44">
        <f>SUM(AP459:AP475)</f>
        <v>0.62640000000000007</v>
      </c>
      <c r="AQ458" s="44">
        <f>SUM(AQ459:AQ475)</f>
        <v>181.65100000000001</v>
      </c>
    </row>
    <row r="459" spans="1:43" s="5" customFormat="1" ht="12">
      <c r="A459" s="36" t="s">
        <v>139</v>
      </c>
      <c r="B459" s="14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>
        <v>0</v>
      </c>
      <c r="AO459" s="17">
        <v>0</v>
      </c>
      <c r="AP459" s="17">
        <v>1.5599999999999999E-2</v>
      </c>
      <c r="AQ459" s="4">
        <v>4.68</v>
      </c>
    </row>
    <row r="460" spans="1:43" s="8" customFormat="1" ht="12">
      <c r="A460" s="36" t="s">
        <v>130</v>
      </c>
      <c r="B460" s="14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17">
        <v>0</v>
      </c>
      <c r="AO460" s="17">
        <v>0</v>
      </c>
      <c r="AP460" s="6">
        <v>8.8999999999999996E-2</v>
      </c>
      <c r="AQ460" s="6">
        <v>25.672999999999998</v>
      </c>
    </row>
    <row r="461" spans="1:43">
      <c r="A461" s="37" t="s">
        <v>131</v>
      </c>
      <c r="B461" s="14"/>
      <c r="C461" s="6"/>
      <c r="D461" s="6"/>
      <c r="E461" s="6"/>
      <c r="F461" s="6"/>
      <c r="G461" s="6"/>
      <c r="H461" s="6"/>
      <c r="I461" s="6">
        <v>5.0000000000000001E-3</v>
      </c>
      <c r="J461" s="6">
        <v>0.50700000000000001</v>
      </c>
      <c r="K461" s="6">
        <v>0.23</v>
      </c>
      <c r="L461" s="6">
        <v>0.13200000000000001</v>
      </c>
      <c r="M461" s="6">
        <v>2.7E-2</v>
      </c>
      <c r="N461" s="21">
        <f t="shared" ref="N461:N463" si="248">ROUND((L461)*1.0457,3)</f>
        <v>0.13800000000000001</v>
      </c>
      <c r="O461" s="6">
        <v>1.0999999999999999E-2</v>
      </c>
      <c r="P461" s="10">
        <f t="shared" ref="P461:P463" si="249">SUM(K461:O461)</f>
        <v>0.53800000000000003</v>
      </c>
      <c r="Q461" s="6"/>
      <c r="R461" s="6"/>
      <c r="S461" s="6">
        <f>I461+E461</f>
        <v>5.0000000000000001E-3</v>
      </c>
      <c r="T461" s="10">
        <f>P461</f>
        <v>0.53800000000000003</v>
      </c>
      <c r="U461" s="6"/>
      <c r="V461" s="6"/>
      <c r="W461" s="6"/>
      <c r="X461" s="10"/>
      <c r="Y461" s="6"/>
      <c r="Z461" s="10"/>
      <c r="AA461" s="6"/>
      <c r="AB461" s="10"/>
      <c r="AC461" s="6"/>
      <c r="AD461" s="10"/>
      <c r="AE461" s="6"/>
      <c r="AF461" s="6"/>
      <c r="AG461" s="6"/>
      <c r="AH461" s="6"/>
      <c r="AI461" s="4">
        <f t="shared" ref="AI461:AI468" si="250">ROUND((AH461)*0.202,3)</f>
        <v>0</v>
      </c>
      <c r="AJ461" s="21">
        <f t="shared" ref="AJ461:AJ468" si="251">ROUND((AH461)*0.8138,3)</f>
        <v>0</v>
      </c>
      <c r="AK461" s="6"/>
      <c r="AL461" s="10">
        <f t="shared" ref="AL461:AL463" si="252">SUM(AG461:AK461)</f>
        <v>0</v>
      </c>
      <c r="AM461" s="10"/>
      <c r="AN461" s="17">
        <v>0</v>
      </c>
      <c r="AO461" s="17">
        <v>0</v>
      </c>
      <c r="AP461" s="6">
        <f>S461</f>
        <v>5.0000000000000001E-3</v>
      </c>
      <c r="AQ461" s="6">
        <f t="shared" ref="AQ461:AQ465" si="253">T461</f>
        <v>0.53800000000000003</v>
      </c>
    </row>
    <row r="462" spans="1:43">
      <c r="A462" s="37" t="s">
        <v>120</v>
      </c>
      <c r="B462" s="14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1">
        <f t="shared" si="248"/>
        <v>0</v>
      </c>
      <c r="O462" s="6"/>
      <c r="P462" s="10">
        <f t="shared" si="249"/>
        <v>0</v>
      </c>
      <c r="Q462" s="6"/>
      <c r="R462" s="6"/>
      <c r="S462" s="6">
        <f>I462+E462</f>
        <v>0</v>
      </c>
      <c r="T462" s="10">
        <f>P462</f>
        <v>0</v>
      </c>
      <c r="U462" s="6"/>
      <c r="V462" s="6"/>
      <c r="W462" s="6">
        <v>6.0000000000000001E-3</v>
      </c>
      <c r="X462" s="10">
        <v>0.5</v>
      </c>
      <c r="Y462" s="6"/>
      <c r="Z462" s="10"/>
      <c r="AA462" s="6"/>
      <c r="AB462" s="10"/>
      <c r="AC462" s="6"/>
      <c r="AD462" s="10"/>
      <c r="AE462" s="6"/>
      <c r="AF462" s="6">
        <v>6.0000000000000001E-3</v>
      </c>
      <c r="AG462" s="6">
        <v>0.86699999999999999</v>
      </c>
      <c r="AH462" s="6">
        <v>0.158</v>
      </c>
      <c r="AI462" s="4">
        <f t="shared" si="250"/>
        <v>3.2000000000000001E-2</v>
      </c>
      <c r="AJ462" s="21">
        <f t="shared" si="251"/>
        <v>0.129</v>
      </c>
      <c r="AK462" s="6">
        <v>1.4E-2</v>
      </c>
      <c r="AL462" s="10">
        <f>SUM(AG462:AK462)-0.001</f>
        <v>1.1990000000000001</v>
      </c>
      <c r="AM462" s="10"/>
      <c r="AN462" s="17">
        <v>0</v>
      </c>
      <c r="AO462" s="17">
        <v>0</v>
      </c>
      <c r="AP462" s="6">
        <v>6.0000000000000001E-3</v>
      </c>
      <c r="AQ462" s="10">
        <f>AL462</f>
        <v>1.1990000000000001</v>
      </c>
    </row>
    <row r="463" spans="1:43">
      <c r="A463" s="37" t="s">
        <v>142</v>
      </c>
      <c r="B463" s="14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1">
        <f t="shared" si="248"/>
        <v>0</v>
      </c>
      <c r="O463" s="6"/>
      <c r="P463" s="10">
        <f t="shared" si="249"/>
        <v>0</v>
      </c>
      <c r="Q463" s="6"/>
      <c r="R463" s="6"/>
      <c r="S463" s="6">
        <f>I463+E463</f>
        <v>0</v>
      </c>
      <c r="T463" s="10">
        <f>P463</f>
        <v>0</v>
      </c>
      <c r="U463" s="6"/>
      <c r="V463" s="6"/>
      <c r="W463" s="6"/>
      <c r="X463" s="10"/>
      <c r="Y463" s="6"/>
      <c r="Z463" s="10"/>
      <c r="AA463" s="6"/>
      <c r="AB463" s="10"/>
      <c r="AC463" s="6"/>
      <c r="AD463" s="10"/>
      <c r="AE463" s="6"/>
      <c r="AF463" s="6"/>
      <c r="AG463" s="6"/>
      <c r="AH463" s="6"/>
      <c r="AI463" s="4">
        <f t="shared" si="250"/>
        <v>0</v>
      </c>
      <c r="AJ463" s="21">
        <f t="shared" si="251"/>
        <v>0</v>
      </c>
      <c r="AK463" s="6"/>
      <c r="AL463" s="10">
        <f t="shared" si="252"/>
        <v>0</v>
      </c>
      <c r="AM463" s="10"/>
      <c r="AN463" s="6">
        <v>0.03</v>
      </c>
      <c r="AO463" s="6">
        <v>8.64</v>
      </c>
      <c r="AP463" s="6">
        <v>5.7999999999999996E-3</v>
      </c>
      <c r="AQ463" s="6">
        <v>1.74</v>
      </c>
    </row>
    <row r="464" spans="1:43">
      <c r="A464" s="37" t="s">
        <v>121</v>
      </c>
      <c r="B464" s="14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1"/>
      <c r="O464" s="6"/>
      <c r="P464" s="10"/>
      <c r="Q464" s="6"/>
      <c r="R464" s="6"/>
      <c r="S464" s="6"/>
      <c r="T464" s="10"/>
      <c r="U464" s="6"/>
      <c r="V464" s="6"/>
      <c r="W464" s="6"/>
      <c r="X464" s="10"/>
      <c r="Y464" s="6"/>
      <c r="Z464" s="10"/>
      <c r="AA464" s="6"/>
      <c r="AB464" s="10"/>
      <c r="AC464" s="6"/>
      <c r="AD464" s="10"/>
      <c r="AE464" s="6"/>
      <c r="AF464" s="6"/>
      <c r="AG464" s="6"/>
      <c r="AH464" s="6"/>
      <c r="AI464" s="4"/>
      <c r="AJ464" s="21"/>
      <c r="AK464" s="6"/>
      <c r="AL464" s="10"/>
      <c r="AM464" s="10"/>
      <c r="AN464" s="6">
        <v>0</v>
      </c>
      <c r="AO464" s="6">
        <v>0</v>
      </c>
      <c r="AP464" s="6">
        <v>2.1100000000000001E-2</v>
      </c>
      <c r="AQ464" s="6">
        <v>6.33</v>
      </c>
    </row>
    <row r="465" spans="1:43">
      <c r="A465" s="37" t="s">
        <v>133</v>
      </c>
      <c r="B465" s="14"/>
      <c r="C465" s="6"/>
      <c r="D465" s="6"/>
      <c r="E465" s="6"/>
      <c r="F465" s="6"/>
      <c r="G465" s="6"/>
      <c r="H465" s="6"/>
      <c r="I465" s="6">
        <v>0.02</v>
      </c>
      <c r="J465" s="6">
        <v>2.028</v>
      </c>
      <c r="K465" s="6">
        <v>0.92</v>
      </c>
      <c r="L465" s="6">
        <v>0.52800000000000002</v>
      </c>
      <c r="M465" s="6">
        <v>0.107</v>
      </c>
      <c r="N465" s="21">
        <f>ROUND((L465)*1.0457,3)</f>
        <v>0.55200000000000005</v>
      </c>
      <c r="O465" s="6">
        <v>4.4999999999999998E-2</v>
      </c>
      <c r="P465" s="10">
        <f>SUM(K465:O465)</f>
        <v>2.1520000000000001</v>
      </c>
      <c r="Q465" s="6"/>
      <c r="R465" s="6"/>
      <c r="S465" s="6">
        <f>I465+E465</f>
        <v>0.02</v>
      </c>
      <c r="T465" s="10">
        <f>P465</f>
        <v>2.1520000000000001</v>
      </c>
      <c r="U465" s="6"/>
      <c r="V465" s="6"/>
      <c r="W465" s="6"/>
      <c r="X465" s="10"/>
      <c r="Y465" s="6"/>
      <c r="Z465" s="10"/>
      <c r="AA465" s="6"/>
      <c r="AB465" s="10"/>
      <c r="AC465" s="6"/>
      <c r="AD465" s="10"/>
      <c r="AE465" s="6"/>
      <c r="AF465" s="6"/>
      <c r="AG465" s="6"/>
      <c r="AH465" s="6"/>
      <c r="AI465" s="4">
        <f t="shared" si="250"/>
        <v>0</v>
      </c>
      <c r="AJ465" s="21">
        <f t="shared" si="251"/>
        <v>0</v>
      </c>
      <c r="AK465" s="6"/>
      <c r="AL465" s="10">
        <f>SUM(AG465:AK465)</f>
        <v>0</v>
      </c>
      <c r="AM465" s="10"/>
      <c r="AN465" s="6">
        <v>0</v>
      </c>
      <c r="AO465" s="6">
        <v>0</v>
      </c>
      <c r="AP465" s="6">
        <f t="shared" ref="AP465" si="254">S465</f>
        <v>0.02</v>
      </c>
      <c r="AQ465" s="6">
        <f t="shared" si="253"/>
        <v>2.1520000000000001</v>
      </c>
    </row>
    <row r="466" spans="1:43">
      <c r="A466" s="37" t="s">
        <v>143</v>
      </c>
      <c r="B466" s="14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1"/>
      <c r="O466" s="6"/>
      <c r="P466" s="10"/>
      <c r="Q466" s="6"/>
      <c r="R466" s="6"/>
      <c r="S466" s="6"/>
      <c r="T466" s="10"/>
      <c r="U466" s="6"/>
      <c r="V466" s="6"/>
      <c r="W466" s="6"/>
      <c r="X466" s="10"/>
      <c r="Y466" s="6"/>
      <c r="Z466" s="10"/>
      <c r="AA466" s="6"/>
      <c r="AB466" s="10"/>
      <c r="AC466" s="6"/>
      <c r="AD466" s="10"/>
      <c r="AE466" s="6"/>
      <c r="AF466" s="6"/>
      <c r="AG466" s="6"/>
      <c r="AH466" s="6"/>
      <c r="AI466" s="4"/>
      <c r="AJ466" s="21"/>
      <c r="AK466" s="6"/>
      <c r="AL466" s="10"/>
      <c r="AM466" s="10"/>
      <c r="AN466" s="6">
        <v>0</v>
      </c>
      <c r="AO466" s="6">
        <v>0</v>
      </c>
      <c r="AP466" s="6">
        <v>2.0400000000000001E-2</v>
      </c>
      <c r="AQ466" s="6">
        <v>6.12</v>
      </c>
    </row>
    <row r="467" spans="1:43">
      <c r="A467" s="37" t="s">
        <v>134</v>
      </c>
      <c r="B467" s="14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1"/>
      <c r="O467" s="6"/>
      <c r="P467" s="10"/>
      <c r="Q467" s="6"/>
      <c r="R467" s="6"/>
      <c r="S467" s="6"/>
      <c r="T467" s="10"/>
      <c r="U467" s="6"/>
      <c r="V467" s="6"/>
      <c r="W467" s="6"/>
      <c r="X467" s="10"/>
      <c r="Y467" s="6"/>
      <c r="Z467" s="10"/>
      <c r="AA467" s="6"/>
      <c r="AB467" s="10"/>
      <c r="AC467" s="6"/>
      <c r="AD467" s="10"/>
      <c r="AE467" s="6"/>
      <c r="AF467" s="6"/>
      <c r="AG467" s="6"/>
      <c r="AH467" s="6"/>
      <c r="AI467" s="4"/>
      <c r="AJ467" s="21"/>
      <c r="AK467" s="6"/>
      <c r="AL467" s="10"/>
      <c r="AM467" s="10"/>
      <c r="AN467" s="6">
        <v>0</v>
      </c>
      <c r="AO467" s="6">
        <v>0</v>
      </c>
      <c r="AP467" s="6">
        <v>6.5699999999999995E-2</v>
      </c>
      <c r="AQ467" s="6">
        <v>19.71</v>
      </c>
    </row>
    <row r="468" spans="1:43" s="9" customFormat="1">
      <c r="A468" s="37" t="s">
        <v>135</v>
      </c>
      <c r="B468" s="14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1"/>
      <c r="O468" s="6"/>
      <c r="P468" s="10"/>
      <c r="Q468" s="6"/>
      <c r="R468" s="6"/>
      <c r="S468" s="6" t="e">
        <f>#REF!+#REF!</f>
        <v>#REF!</v>
      </c>
      <c r="T468" s="6" t="e">
        <f>#REF!+#REF!</f>
        <v>#REF!</v>
      </c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4">
        <f t="shared" si="250"/>
        <v>0</v>
      </c>
      <c r="AJ468" s="21">
        <f t="shared" si="251"/>
        <v>0</v>
      </c>
      <c r="AK468" s="6"/>
      <c r="AL468" s="10"/>
      <c r="AM468" s="10"/>
      <c r="AN468" s="6">
        <v>0.06</v>
      </c>
      <c r="AO468" s="6">
        <v>17.28</v>
      </c>
      <c r="AP468" s="6">
        <v>0.16070000000000001</v>
      </c>
      <c r="AQ468" s="6">
        <v>45.481999999999999</v>
      </c>
    </row>
    <row r="469" spans="1:43">
      <c r="A469" s="37" t="s">
        <v>125</v>
      </c>
      <c r="B469" s="14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4"/>
      <c r="N469" s="21"/>
      <c r="O469" s="6"/>
      <c r="P469" s="10"/>
      <c r="Q469" s="6"/>
      <c r="R469" s="6"/>
      <c r="S469" s="6"/>
      <c r="T469" s="10"/>
      <c r="U469" s="6"/>
      <c r="V469" s="6"/>
      <c r="W469" s="6">
        <v>7.3999999999999996E-2</v>
      </c>
      <c r="X469" s="10">
        <v>25.9</v>
      </c>
      <c r="Y469" s="6"/>
      <c r="Z469" s="10"/>
      <c r="AA469" s="6"/>
      <c r="AB469" s="10"/>
      <c r="AC469" s="6"/>
      <c r="AD469" s="10"/>
      <c r="AE469" s="6"/>
      <c r="AF469" s="6"/>
      <c r="AG469" s="6"/>
      <c r="AH469" s="6"/>
      <c r="AI469" s="4"/>
      <c r="AJ469" s="21"/>
      <c r="AK469" s="6"/>
      <c r="AL469" s="10">
        <f t="shared" ref="AL469:AL471" si="255">SUM(AG469:AK469)</f>
        <v>0</v>
      </c>
      <c r="AM469" s="10"/>
      <c r="AN469" s="6">
        <v>0.05</v>
      </c>
      <c r="AO469" s="6">
        <v>14.4</v>
      </c>
      <c r="AP469" s="6">
        <v>5.5300000000000002E-2</v>
      </c>
      <c r="AQ469" s="6">
        <v>16.59</v>
      </c>
    </row>
    <row r="470" spans="1:43">
      <c r="A470" s="37" t="s">
        <v>128</v>
      </c>
      <c r="B470" s="14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4"/>
      <c r="N470" s="21"/>
      <c r="O470" s="6"/>
      <c r="P470" s="10"/>
      <c r="Q470" s="6"/>
      <c r="R470" s="6"/>
      <c r="S470" s="6"/>
      <c r="T470" s="10"/>
      <c r="U470" s="6"/>
      <c r="V470" s="6"/>
      <c r="W470" s="6"/>
      <c r="X470" s="10"/>
      <c r="Y470" s="6"/>
      <c r="Z470" s="10"/>
      <c r="AA470" s="6"/>
      <c r="AB470" s="10"/>
      <c r="AC470" s="6">
        <v>1.84E-2</v>
      </c>
      <c r="AD470" s="10">
        <v>7.6779999999999999</v>
      </c>
      <c r="AE470" s="6"/>
      <c r="AF470" s="6"/>
      <c r="AG470" s="6"/>
      <c r="AH470" s="6"/>
      <c r="AI470" s="4"/>
      <c r="AJ470" s="21"/>
      <c r="AK470" s="6"/>
      <c r="AL470" s="10">
        <f t="shared" si="255"/>
        <v>0</v>
      </c>
      <c r="AM470" s="10"/>
      <c r="AN470" s="6">
        <v>0</v>
      </c>
      <c r="AO470" s="6">
        <v>0</v>
      </c>
      <c r="AP470" s="6">
        <f>AC470</f>
        <v>1.84E-2</v>
      </c>
      <c r="AQ470" s="10">
        <f>AD470</f>
        <v>7.6779999999999999</v>
      </c>
    </row>
    <row r="471" spans="1:43" s="9" customFormat="1">
      <c r="A471" s="37" t="s">
        <v>129</v>
      </c>
      <c r="B471" s="14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4"/>
      <c r="N471" s="21"/>
      <c r="O471" s="6"/>
      <c r="P471" s="10"/>
      <c r="Q471" s="6"/>
      <c r="R471" s="6"/>
      <c r="S471" s="6" t="e">
        <f>#REF!+#REF!</f>
        <v>#REF!</v>
      </c>
      <c r="T471" s="6" t="e">
        <f>#REF!+#REF!</f>
        <v>#REF!</v>
      </c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4"/>
      <c r="AJ471" s="21"/>
      <c r="AK471" s="6"/>
      <c r="AL471" s="10">
        <f t="shared" si="255"/>
        <v>0</v>
      </c>
      <c r="AM471" s="10"/>
      <c r="AN471" s="6">
        <v>0.04</v>
      </c>
      <c r="AO471" s="6">
        <v>11.52</v>
      </c>
      <c r="AP471" s="6">
        <v>2.9399999999999999E-2</v>
      </c>
      <c r="AQ471" s="6">
        <v>6.0129999999999999</v>
      </c>
    </row>
    <row r="472" spans="1:43" ht="12">
      <c r="A472" s="36" t="s">
        <v>65</v>
      </c>
      <c r="B472" s="14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>
        <f t="shared" ref="S472:S475" si="256">I472+E472</f>
        <v>0</v>
      </c>
      <c r="T472" s="6">
        <f>J472+F472</f>
        <v>0</v>
      </c>
      <c r="U472" s="6"/>
      <c r="V472" s="6"/>
      <c r="W472" s="6"/>
      <c r="X472" s="6"/>
      <c r="Y472" s="6"/>
      <c r="Z472" s="6"/>
      <c r="AA472" s="6"/>
      <c r="AB472" s="6"/>
      <c r="AC472" s="6">
        <v>4.7899999999999998E-2</v>
      </c>
      <c r="AD472" s="6">
        <v>14.37</v>
      </c>
      <c r="AE472" s="6"/>
      <c r="AF472" s="6"/>
      <c r="AG472" s="6"/>
      <c r="AH472" s="6"/>
      <c r="AI472" s="6"/>
      <c r="AJ472" s="6"/>
      <c r="AK472" s="6"/>
      <c r="AL472" s="6"/>
      <c r="AM472" s="6"/>
      <c r="AN472" s="6">
        <v>0.04</v>
      </c>
      <c r="AO472" s="6">
        <v>11.52</v>
      </c>
      <c r="AP472" s="6">
        <f>AC472</f>
        <v>4.7899999999999998E-2</v>
      </c>
      <c r="AQ472" s="6">
        <v>14.37</v>
      </c>
    </row>
    <row r="473" spans="1:43" ht="12">
      <c r="A473" s="36" t="s">
        <v>136</v>
      </c>
      <c r="B473" s="14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>
        <f t="shared" si="256"/>
        <v>0</v>
      </c>
      <c r="T473" s="6">
        <f>J473+F473</f>
        <v>0</v>
      </c>
      <c r="U473" s="6"/>
      <c r="V473" s="6"/>
      <c r="W473" s="6">
        <f t="shared" ref="W473:AB475" si="257">M473+I473</f>
        <v>0</v>
      </c>
      <c r="X473" s="6">
        <f t="shared" si="257"/>
        <v>0</v>
      </c>
      <c r="Y473" s="6">
        <f t="shared" si="257"/>
        <v>0</v>
      </c>
      <c r="Z473" s="6">
        <f t="shared" si="257"/>
        <v>0</v>
      </c>
      <c r="AA473" s="6">
        <f t="shared" si="257"/>
        <v>0</v>
      </c>
      <c r="AB473" s="6">
        <f t="shared" si="257"/>
        <v>0</v>
      </c>
      <c r="AC473" s="6">
        <v>6.0299999999999999E-2</v>
      </c>
      <c r="AD473" s="6">
        <v>18.09</v>
      </c>
      <c r="AE473" s="6"/>
      <c r="AF473" s="6">
        <f>S473+O473</f>
        <v>0</v>
      </c>
      <c r="AG473" s="6"/>
      <c r="AH473" s="6"/>
      <c r="AI473" s="6"/>
      <c r="AJ473" s="6"/>
      <c r="AK473" s="6"/>
      <c r="AL473" s="6"/>
      <c r="AM473" s="6"/>
      <c r="AN473" s="6">
        <v>0.02</v>
      </c>
      <c r="AO473" s="6">
        <v>5.76</v>
      </c>
      <c r="AP473" s="6">
        <f t="shared" ref="AP473:AQ475" si="258">AC473</f>
        <v>6.0299999999999999E-2</v>
      </c>
      <c r="AQ473" s="6">
        <f t="shared" si="258"/>
        <v>18.09</v>
      </c>
    </row>
    <row r="474" spans="1:43" ht="12">
      <c r="A474" s="36" t="s">
        <v>76</v>
      </c>
      <c r="B474" s="14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>
        <v>2.8E-3</v>
      </c>
      <c r="AD474" s="6">
        <v>3.4169999999999998</v>
      </c>
      <c r="AE474" s="6"/>
      <c r="AF474" s="6"/>
      <c r="AG474" s="6"/>
      <c r="AH474" s="6"/>
      <c r="AI474" s="6"/>
      <c r="AJ474" s="6"/>
      <c r="AK474" s="6"/>
      <c r="AL474" s="6"/>
      <c r="AM474" s="6"/>
      <c r="AN474" s="6">
        <v>0</v>
      </c>
      <c r="AO474" s="6">
        <v>0</v>
      </c>
      <c r="AP474" s="6">
        <f t="shared" si="258"/>
        <v>2.8E-3</v>
      </c>
      <c r="AQ474" s="6">
        <f t="shared" si="258"/>
        <v>3.4169999999999998</v>
      </c>
    </row>
    <row r="475" spans="1:43" ht="12">
      <c r="A475" s="36" t="s">
        <v>28</v>
      </c>
      <c r="B475" s="14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>
        <f t="shared" si="256"/>
        <v>0</v>
      </c>
      <c r="T475" s="6">
        <f>J475+F475</f>
        <v>0</v>
      </c>
      <c r="U475" s="6"/>
      <c r="V475" s="6"/>
      <c r="W475" s="6">
        <f t="shared" si="257"/>
        <v>0</v>
      </c>
      <c r="X475" s="6">
        <f t="shared" si="257"/>
        <v>0</v>
      </c>
      <c r="Y475" s="6">
        <f t="shared" si="257"/>
        <v>0</v>
      </c>
      <c r="Z475" s="6">
        <f t="shared" si="257"/>
        <v>0</v>
      </c>
      <c r="AA475" s="6">
        <f t="shared" si="257"/>
        <v>0</v>
      </c>
      <c r="AB475" s="6">
        <f t="shared" si="257"/>
        <v>0</v>
      </c>
      <c r="AC475" s="6">
        <v>3.0000000000000001E-3</v>
      </c>
      <c r="AD475" s="6">
        <v>1.869</v>
      </c>
      <c r="AE475" s="6"/>
      <c r="AF475" s="6">
        <f>S475+O475</f>
        <v>0</v>
      </c>
      <c r="AG475" s="6"/>
      <c r="AH475" s="6"/>
      <c r="AI475" s="6"/>
      <c r="AJ475" s="6"/>
      <c r="AK475" s="6"/>
      <c r="AL475" s="6"/>
      <c r="AM475" s="6"/>
      <c r="AN475" s="6">
        <v>0</v>
      </c>
      <c r="AO475" s="6">
        <v>0</v>
      </c>
      <c r="AP475" s="6">
        <f t="shared" si="258"/>
        <v>3.0000000000000001E-3</v>
      </c>
      <c r="AQ475" s="6">
        <f t="shared" si="258"/>
        <v>1.869</v>
      </c>
    </row>
    <row r="476" spans="1:43" ht="12">
      <c r="A476" s="39" t="s">
        <v>100</v>
      </c>
      <c r="B476" s="33" t="s">
        <v>17</v>
      </c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>
        <v>3.0000000000000001E-3</v>
      </c>
      <c r="AO476" s="30">
        <v>6</v>
      </c>
      <c r="AP476" s="30">
        <f>SUM(AP477:AP477)</f>
        <v>3.0000000000000001E-3</v>
      </c>
      <c r="AQ476" s="30">
        <f>SUM(AQ477:AQ477)</f>
        <v>0.11600000000000001</v>
      </c>
    </row>
    <row r="477" spans="1:43" ht="12">
      <c r="A477" s="37" t="s">
        <v>26</v>
      </c>
      <c r="B477" s="14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>
        <v>3.0000000000000001E-3</v>
      </c>
      <c r="AD477" s="6">
        <v>0.1</v>
      </c>
      <c r="AE477" s="6"/>
      <c r="AF477" s="6"/>
      <c r="AG477" s="6"/>
      <c r="AH477" s="6"/>
      <c r="AI477" s="6"/>
      <c r="AJ477" s="6"/>
      <c r="AK477" s="6"/>
      <c r="AL477" s="6"/>
      <c r="AM477" s="6"/>
      <c r="AN477" s="6">
        <v>3.0000000000000001E-3</v>
      </c>
      <c r="AO477" s="6">
        <v>6</v>
      </c>
      <c r="AP477" s="6">
        <v>3.0000000000000001E-3</v>
      </c>
      <c r="AQ477" s="6">
        <v>0.11600000000000001</v>
      </c>
    </row>
    <row r="478" spans="1:43" ht="12">
      <c r="A478" s="39" t="s">
        <v>101</v>
      </c>
      <c r="B478" s="33" t="s">
        <v>72</v>
      </c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>
        <f>SUM(Y479:Y507)</f>
        <v>264</v>
      </c>
      <c r="Z478" s="30">
        <f>SUM(Z479:Z507)</f>
        <v>2.64</v>
      </c>
      <c r="AA478" s="30">
        <f>SUM(AA479:AA507)</f>
        <v>264</v>
      </c>
      <c r="AB478" s="30">
        <f>SUM(AB479:AB507)</f>
        <v>2.64</v>
      </c>
      <c r="AC478" s="30"/>
      <c r="AD478" s="30"/>
      <c r="AE478" s="30"/>
      <c r="AF478" s="30">
        <f>SUM(AF479:AF507)</f>
        <v>264</v>
      </c>
      <c r="AG478" s="30"/>
      <c r="AH478" s="30"/>
      <c r="AI478" s="30"/>
      <c r="AJ478" s="30"/>
      <c r="AK478" s="30"/>
      <c r="AL478" s="30"/>
      <c r="AM478" s="30"/>
      <c r="AN478" s="30">
        <v>200</v>
      </c>
      <c r="AO478" s="48">
        <v>68</v>
      </c>
      <c r="AP478" s="30">
        <f>SUM(AP479:AP507)</f>
        <v>264</v>
      </c>
      <c r="AQ478" s="30">
        <f>SUM(AQ479:AQ507)</f>
        <v>45.043999999999997</v>
      </c>
    </row>
    <row r="479" spans="1:43" s="3" customFormat="1" ht="12">
      <c r="A479" s="37" t="s">
        <v>21</v>
      </c>
      <c r="B479" s="14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>
        <v>4</v>
      </c>
      <c r="Z479" s="6">
        <v>0.04</v>
      </c>
      <c r="AA479" s="6">
        <v>4</v>
      </c>
      <c r="AB479" s="6">
        <v>0.04</v>
      </c>
      <c r="AC479" s="6"/>
      <c r="AD479" s="6"/>
      <c r="AE479" s="6"/>
      <c r="AF479" s="6">
        <v>4</v>
      </c>
      <c r="AG479" s="6"/>
      <c r="AH479" s="6"/>
      <c r="AI479" s="6"/>
      <c r="AJ479" s="6"/>
      <c r="AK479" s="6"/>
      <c r="AL479" s="6"/>
      <c r="AM479" s="6"/>
      <c r="AN479" s="6">
        <v>2</v>
      </c>
      <c r="AO479" s="6">
        <v>0.68</v>
      </c>
      <c r="AP479" s="6">
        <v>4</v>
      </c>
      <c r="AQ479" s="6">
        <v>0.4</v>
      </c>
    </row>
    <row r="480" spans="1:43" s="3" customFormat="1" ht="12">
      <c r="A480" s="37" t="s">
        <v>43</v>
      </c>
      <c r="B480" s="14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>
        <v>5</v>
      </c>
      <c r="Z480" s="6">
        <v>0.05</v>
      </c>
      <c r="AA480" s="6">
        <v>5</v>
      </c>
      <c r="AB480" s="6">
        <v>0.05</v>
      </c>
      <c r="AC480" s="6"/>
      <c r="AD480" s="6"/>
      <c r="AE480" s="6"/>
      <c r="AF480" s="6">
        <v>5</v>
      </c>
      <c r="AG480" s="6"/>
      <c r="AH480" s="6"/>
      <c r="AI480" s="6"/>
      <c r="AJ480" s="6"/>
      <c r="AK480" s="6"/>
      <c r="AL480" s="6"/>
      <c r="AM480" s="6"/>
      <c r="AN480" s="6">
        <v>4</v>
      </c>
      <c r="AO480" s="6">
        <v>1.36</v>
      </c>
      <c r="AP480" s="6">
        <v>5</v>
      </c>
      <c r="AQ480" s="6">
        <v>0.8</v>
      </c>
    </row>
    <row r="481" spans="1:43" s="3" customFormat="1" ht="12">
      <c r="A481" s="37" t="s">
        <v>22</v>
      </c>
      <c r="B481" s="14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>
        <v>6</v>
      </c>
      <c r="Z481" s="6">
        <v>0.06</v>
      </c>
      <c r="AA481" s="6">
        <v>6</v>
      </c>
      <c r="AB481" s="6">
        <v>0.06</v>
      </c>
      <c r="AC481" s="6"/>
      <c r="AD481" s="6"/>
      <c r="AE481" s="6"/>
      <c r="AF481" s="6">
        <v>6</v>
      </c>
      <c r="AG481" s="6"/>
      <c r="AH481" s="6"/>
      <c r="AI481" s="6"/>
      <c r="AJ481" s="6"/>
      <c r="AK481" s="6"/>
      <c r="AL481" s="6"/>
      <c r="AM481" s="6"/>
      <c r="AN481" s="6">
        <v>6</v>
      </c>
      <c r="AO481" s="6">
        <v>2.04</v>
      </c>
      <c r="AP481" s="6">
        <v>6</v>
      </c>
      <c r="AQ481" s="6">
        <v>1.2</v>
      </c>
    </row>
    <row r="482" spans="1:43" s="3" customFormat="1" ht="12">
      <c r="A482" s="37" t="s">
        <v>44</v>
      </c>
      <c r="B482" s="14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>
        <v>12</v>
      </c>
      <c r="Z482" s="6">
        <v>0.12</v>
      </c>
      <c r="AA482" s="6">
        <v>12</v>
      </c>
      <c r="AB482" s="6">
        <v>0.12</v>
      </c>
      <c r="AC482" s="6"/>
      <c r="AD482" s="6"/>
      <c r="AE482" s="6"/>
      <c r="AF482" s="6">
        <v>12</v>
      </c>
      <c r="AG482" s="6"/>
      <c r="AH482" s="6"/>
      <c r="AI482" s="6"/>
      <c r="AJ482" s="6"/>
      <c r="AK482" s="6"/>
      <c r="AL482" s="6"/>
      <c r="AM482" s="6"/>
      <c r="AN482" s="6">
        <v>12</v>
      </c>
      <c r="AO482" s="6">
        <v>4.08</v>
      </c>
      <c r="AP482" s="6">
        <v>12</v>
      </c>
      <c r="AQ482" s="6">
        <v>2.4</v>
      </c>
    </row>
    <row r="483" spans="1:43" s="3" customFormat="1" ht="12">
      <c r="A483" s="37" t="s">
        <v>36</v>
      </c>
      <c r="B483" s="14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>
        <v>48</v>
      </c>
      <c r="Z483" s="6">
        <v>0.48</v>
      </c>
      <c r="AA483" s="6">
        <v>48</v>
      </c>
      <c r="AB483" s="6">
        <v>0.48</v>
      </c>
      <c r="AC483" s="6"/>
      <c r="AD483" s="6"/>
      <c r="AE483" s="6"/>
      <c r="AF483" s="6">
        <v>48</v>
      </c>
      <c r="AG483" s="6"/>
      <c r="AH483" s="6"/>
      <c r="AI483" s="6"/>
      <c r="AJ483" s="6"/>
      <c r="AK483" s="6"/>
      <c r="AL483" s="6"/>
      <c r="AM483" s="6"/>
      <c r="AN483" s="6">
        <v>40</v>
      </c>
      <c r="AO483" s="6">
        <v>13.6</v>
      </c>
      <c r="AP483" s="6">
        <v>48</v>
      </c>
      <c r="AQ483" s="6">
        <v>8.3940000000000001</v>
      </c>
    </row>
    <row r="484" spans="1:43" s="3" customFormat="1" ht="12">
      <c r="A484" s="37" t="s">
        <v>37</v>
      </c>
      <c r="B484" s="14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>
        <v>6</v>
      </c>
      <c r="Z484" s="6">
        <v>0.06</v>
      </c>
      <c r="AA484" s="6">
        <v>6</v>
      </c>
      <c r="AB484" s="6">
        <v>0.06</v>
      </c>
      <c r="AC484" s="6"/>
      <c r="AD484" s="6"/>
      <c r="AE484" s="6"/>
      <c r="AF484" s="6">
        <v>6</v>
      </c>
      <c r="AG484" s="6"/>
      <c r="AH484" s="6"/>
      <c r="AI484" s="6"/>
      <c r="AJ484" s="6"/>
      <c r="AK484" s="6"/>
      <c r="AL484" s="6"/>
      <c r="AM484" s="6"/>
      <c r="AN484" s="6">
        <v>3</v>
      </c>
      <c r="AO484" s="6">
        <v>1.02</v>
      </c>
      <c r="AP484" s="6">
        <v>6</v>
      </c>
      <c r="AQ484" s="6">
        <v>1.2</v>
      </c>
    </row>
    <row r="485" spans="1:43" s="3" customFormat="1" ht="12">
      <c r="A485" s="37" t="s">
        <v>23</v>
      </c>
      <c r="B485" s="14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>
        <v>6</v>
      </c>
      <c r="Z485" s="6">
        <v>0.06</v>
      </c>
      <c r="AA485" s="6">
        <v>6</v>
      </c>
      <c r="AB485" s="6">
        <v>0.06</v>
      </c>
      <c r="AC485" s="6"/>
      <c r="AD485" s="6"/>
      <c r="AE485" s="6"/>
      <c r="AF485" s="6">
        <v>6</v>
      </c>
      <c r="AG485" s="6"/>
      <c r="AH485" s="6"/>
      <c r="AI485" s="6"/>
      <c r="AJ485" s="6"/>
      <c r="AK485" s="6"/>
      <c r="AL485" s="6"/>
      <c r="AM485" s="6"/>
      <c r="AN485" s="6">
        <v>7</v>
      </c>
      <c r="AO485" s="6">
        <v>2.38</v>
      </c>
      <c r="AP485" s="6">
        <v>6</v>
      </c>
      <c r="AQ485" s="6">
        <v>1.4</v>
      </c>
    </row>
    <row r="486" spans="1:43" s="3" customFormat="1" ht="12">
      <c r="A486" s="37" t="s">
        <v>38</v>
      </c>
      <c r="B486" s="14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>
        <v>12</v>
      </c>
      <c r="Z486" s="6">
        <v>0.12</v>
      </c>
      <c r="AA486" s="6">
        <v>12</v>
      </c>
      <c r="AB486" s="6">
        <v>0.12</v>
      </c>
      <c r="AC486" s="6"/>
      <c r="AD486" s="6"/>
      <c r="AE486" s="6"/>
      <c r="AF486" s="6">
        <v>12</v>
      </c>
      <c r="AG486" s="6"/>
      <c r="AH486" s="6"/>
      <c r="AI486" s="6"/>
      <c r="AJ486" s="6"/>
      <c r="AK486" s="6"/>
      <c r="AL486" s="6"/>
      <c r="AM486" s="6"/>
      <c r="AN486" s="6">
        <v>6</v>
      </c>
      <c r="AO486" s="6">
        <v>2.04</v>
      </c>
      <c r="AP486" s="6">
        <v>12</v>
      </c>
      <c r="AQ486" s="6">
        <v>2.4</v>
      </c>
    </row>
    <row r="487" spans="1:43" s="3" customFormat="1" ht="12">
      <c r="A487" s="37" t="s">
        <v>45</v>
      </c>
      <c r="B487" s="14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>
        <v>4</v>
      </c>
      <c r="Z487" s="6">
        <v>0.04</v>
      </c>
      <c r="AA487" s="6">
        <v>4</v>
      </c>
      <c r="AB487" s="6">
        <v>0.04</v>
      </c>
      <c r="AC487" s="6"/>
      <c r="AD487" s="6"/>
      <c r="AE487" s="6"/>
      <c r="AF487" s="6">
        <v>4</v>
      </c>
      <c r="AG487" s="6"/>
      <c r="AH487" s="6"/>
      <c r="AI487" s="6"/>
      <c r="AJ487" s="6"/>
      <c r="AK487" s="6"/>
      <c r="AL487" s="6"/>
      <c r="AM487" s="6"/>
      <c r="AN487" s="6">
        <v>5</v>
      </c>
      <c r="AO487" s="6">
        <v>1.7</v>
      </c>
      <c r="AP487" s="6">
        <v>4</v>
      </c>
      <c r="AQ487" s="6">
        <v>1</v>
      </c>
    </row>
    <row r="488" spans="1:43" s="3" customFormat="1" ht="12">
      <c r="A488" s="37" t="s">
        <v>46</v>
      </c>
      <c r="B488" s="14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>
        <v>5</v>
      </c>
      <c r="Z488" s="6">
        <v>0.05</v>
      </c>
      <c r="AA488" s="6">
        <v>5</v>
      </c>
      <c r="AB488" s="6">
        <v>0.05</v>
      </c>
      <c r="AC488" s="6"/>
      <c r="AD488" s="6"/>
      <c r="AE488" s="6"/>
      <c r="AF488" s="6">
        <v>5</v>
      </c>
      <c r="AG488" s="6"/>
      <c r="AH488" s="6"/>
      <c r="AI488" s="6"/>
      <c r="AJ488" s="6"/>
      <c r="AK488" s="6"/>
      <c r="AL488" s="6"/>
      <c r="AM488" s="6"/>
      <c r="AN488" s="6">
        <v>4</v>
      </c>
      <c r="AO488" s="6">
        <v>1.36</v>
      </c>
      <c r="AP488" s="6">
        <v>5</v>
      </c>
      <c r="AQ488" s="6">
        <v>0.8</v>
      </c>
    </row>
    <row r="489" spans="1:43" s="3" customFormat="1" ht="12">
      <c r="A489" s="37" t="s">
        <v>24</v>
      </c>
      <c r="B489" s="14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>
        <v>10</v>
      </c>
      <c r="Z489" s="6">
        <v>0.1</v>
      </c>
      <c r="AA489" s="6">
        <v>10</v>
      </c>
      <c r="AB489" s="6">
        <v>0.1</v>
      </c>
      <c r="AC489" s="6"/>
      <c r="AD489" s="6"/>
      <c r="AE489" s="6"/>
      <c r="AF489" s="6">
        <v>10</v>
      </c>
      <c r="AG489" s="6"/>
      <c r="AH489" s="6"/>
      <c r="AI489" s="6"/>
      <c r="AJ489" s="6"/>
      <c r="AK489" s="6"/>
      <c r="AL489" s="6"/>
      <c r="AM489" s="6"/>
      <c r="AN489" s="6">
        <v>7</v>
      </c>
      <c r="AO489" s="6">
        <v>2.38</v>
      </c>
      <c r="AP489" s="6">
        <v>10</v>
      </c>
      <c r="AQ489" s="6">
        <v>2</v>
      </c>
    </row>
    <row r="490" spans="1:43" s="3" customFormat="1" ht="12">
      <c r="A490" s="37" t="s">
        <v>47</v>
      </c>
      <c r="B490" s="14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>
        <v>2</v>
      </c>
      <c r="Z490" s="6">
        <v>0.02</v>
      </c>
      <c r="AA490" s="6">
        <v>2</v>
      </c>
      <c r="AB490" s="6">
        <v>0.02</v>
      </c>
      <c r="AC490" s="6"/>
      <c r="AD490" s="6"/>
      <c r="AE490" s="6"/>
      <c r="AF490" s="6">
        <v>2</v>
      </c>
      <c r="AG490" s="6"/>
      <c r="AH490" s="6"/>
      <c r="AI490" s="6"/>
      <c r="AJ490" s="6"/>
      <c r="AK490" s="6"/>
      <c r="AL490" s="6"/>
      <c r="AM490" s="6"/>
      <c r="AN490" s="6">
        <v>2</v>
      </c>
      <c r="AO490" s="6">
        <v>0.68</v>
      </c>
      <c r="AP490" s="6">
        <v>2</v>
      </c>
      <c r="AQ490" s="6">
        <v>0.4</v>
      </c>
    </row>
    <row r="491" spans="1:43" s="3" customFormat="1" ht="12">
      <c r="A491" s="37" t="s">
        <v>40</v>
      </c>
      <c r="B491" s="14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>
        <v>5</v>
      </c>
      <c r="Z491" s="6">
        <v>0.05</v>
      </c>
      <c r="AA491" s="6">
        <v>5</v>
      </c>
      <c r="AB491" s="6">
        <v>0.05</v>
      </c>
      <c r="AC491" s="6"/>
      <c r="AD491" s="6"/>
      <c r="AE491" s="6"/>
      <c r="AF491" s="6">
        <v>5</v>
      </c>
      <c r="AG491" s="6"/>
      <c r="AH491" s="6"/>
      <c r="AI491" s="6"/>
      <c r="AJ491" s="6"/>
      <c r="AK491" s="6"/>
      <c r="AL491" s="6"/>
      <c r="AM491" s="6"/>
      <c r="AN491" s="6">
        <v>3</v>
      </c>
      <c r="AO491" s="6">
        <v>1.02</v>
      </c>
      <c r="AP491" s="6">
        <v>5</v>
      </c>
      <c r="AQ491" s="6">
        <v>1</v>
      </c>
    </row>
    <row r="492" spans="1:43" s="3" customFormat="1" ht="12">
      <c r="A492" s="37" t="s">
        <v>48</v>
      </c>
      <c r="B492" s="14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>
        <v>4</v>
      </c>
      <c r="Z492" s="6">
        <v>0.04</v>
      </c>
      <c r="AA492" s="6">
        <v>4</v>
      </c>
      <c r="AB492" s="6">
        <v>0.04</v>
      </c>
      <c r="AC492" s="6"/>
      <c r="AD492" s="6"/>
      <c r="AE492" s="6"/>
      <c r="AF492" s="6">
        <v>4</v>
      </c>
      <c r="AG492" s="6"/>
      <c r="AH492" s="6"/>
      <c r="AI492" s="6"/>
      <c r="AJ492" s="6"/>
      <c r="AK492" s="6"/>
      <c r="AL492" s="6"/>
      <c r="AM492" s="6"/>
      <c r="AN492" s="6">
        <v>2</v>
      </c>
      <c r="AO492" s="6">
        <v>0.68</v>
      </c>
      <c r="AP492" s="6">
        <v>4</v>
      </c>
      <c r="AQ492" s="6">
        <v>0.7</v>
      </c>
    </row>
    <row r="493" spans="1:43" s="3" customFormat="1" ht="12">
      <c r="A493" s="37" t="s">
        <v>41</v>
      </c>
      <c r="B493" s="14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>
        <v>4</v>
      </c>
      <c r="Z493" s="6">
        <v>0.04</v>
      </c>
      <c r="AA493" s="6">
        <v>4</v>
      </c>
      <c r="AB493" s="6">
        <v>0.04</v>
      </c>
      <c r="AC493" s="6"/>
      <c r="AD493" s="6"/>
      <c r="AE493" s="6"/>
      <c r="AF493" s="6">
        <v>4</v>
      </c>
      <c r="AG493" s="6"/>
      <c r="AH493" s="6"/>
      <c r="AI493" s="6"/>
      <c r="AJ493" s="6"/>
      <c r="AK493" s="6"/>
      <c r="AL493" s="6"/>
      <c r="AM493" s="6"/>
      <c r="AN493" s="6">
        <v>2</v>
      </c>
      <c r="AO493" s="6">
        <v>0.68</v>
      </c>
      <c r="AP493" s="6">
        <v>4</v>
      </c>
      <c r="AQ493" s="6">
        <v>0.7</v>
      </c>
    </row>
    <row r="494" spans="1:43" s="3" customFormat="1" ht="12">
      <c r="A494" s="37" t="s">
        <v>49</v>
      </c>
      <c r="B494" s="14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>
        <v>8</v>
      </c>
      <c r="Z494" s="6">
        <v>0.08</v>
      </c>
      <c r="AA494" s="6">
        <v>8</v>
      </c>
      <c r="AB494" s="6">
        <v>0.08</v>
      </c>
      <c r="AC494" s="6"/>
      <c r="AD494" s="6"/>
      <c r="AE494" s="6"/>
      <c r="AF494" s="6">
        <v>8</v>
      </c>
      <c r="AG494" s="6"/>
      <c r="AH494" s="6"/>
      <c r="AI494" s="6"/>
      <c r="AJ494" s="6"/>
      <c r="AK494" s="6"/>
      <c r="AL494" s="6"/>
      <c r="AM494" s="6"/>
      <c r="AN494" s="6">
        <v>4</v>
      </c>
      <c r="AO494" s="6">
        <v>1.36</v>
      </c>
      <c r="AP494" s="6">
        <v>8</v>
      </c>
      <c r="AQ494" s="6">
        <v>0.9</v>
      </c>
    </row>
    <row r="495" spans="1:43" ht="12">
      <c r="A495" s="37" t="s">
        <v>50</v>
      </c>
      <c r="B495" s="14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>
        <v>3</v>
      </c>
      <c r="Z495" s="6">
        <v>0.03</v>
      </c>
      <c r="AA495" s="6">
        <v>3</v>
      </c>
      <c r="AB495" s="6">
        <v>0.03</v>
      </c>
      <c r="AC495" s="6"/>
      <c r="AD495" s="6"/>
      <c r="AE495" s="6"/>
      <c r="AF495" s="6">
        <v>3</v>
      </c>
      <c r="AG495" s="6"/>
      <c r="AH495" s="6"/>
      <c r="AI495" s="6"/>
      <c r="AJ495" s="6"/>
      <c r="AK495" s="6"/>
      <c r="AL495" s="6"/>
      <c r="AM495" s="6"/>
      <c r="AN495" s="6">
        <v>2</v>
      </c>
      <c r="AO495" s="6">
        <v>0.68</v>
      </c>
      <c r="AP495" s="6">
        <v>3</v>
      </c>
      <c r="AQ495" s="6">
        <v>0.6</v>
      </c>
    </row>
    <row r="496" spans="1:43" ht="12">
      <c r="A496" s="37" t="s">
        <v>25</v>
      </c>
      <c r="B496" s="14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>
        <v>3</v>
      </c>
      <c r="Z496" s="6">
        <v>0.03</v>
      </c>
      <c r="AA496" s="6">
        <v>3</v>
      </c>
      <c r="AB496" s="6">
        <v>0.03</v>
      </c>
      <c r="AC496" s="6"/>
      <c r="AD496" s="6"/>
      <c r="AE496" s="6"/>
      <c r="AF496" s="6">
        <v>3</v>
      </c>
      <c r="AG496" s="6"/>
      <c r="AH496" s="6"/>
      <c r="AI496" s="6"/>
      <c r="AJ496" s="6"/>
      <c r="AK496" s="6"/>
      <c r="AL496" s="6"/>
      <c r="AM496" s="6"/>
      <c r="AN496" s="6">
        <v>2</v>
      </c>
      <c r="AO496" s="6">
        <v>0.68</v>
      </c>
      <c r="AP496" s="6">
        <v>3</v>
      </c>
      <c r="AQ496" s="6">
        <v>0.6</v>
      </c>
    </row>
    <row r="497" spans="1:43" ht="12">
      <c r="A497" s="37" t="s">
        <v>51</v>
      </c>
      <c r="B497" s="14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>
        <v>23</v>
      </c>
      <c r="Z497" s="6">
        <v>0.23</v>
      </c>
      <c r="AA497" s="6">
        <v>23</v>
      </c>
      <c r="AB497" s="6">
        <v>0.23</v>
      </c>
      <c r="AC497" s="6"/>
      <c r="AD497" s="6"/>
      <c r="AE497" s="6"/>
      <c r="AF497" s="6">
        <v>23</v>
      </c>
      <c r="AG497" s="6"/>
      <c r="AH497" s="6"/>
      <c r="AI497" s="6"/>
      <c r="AJ497" s="6"/>
      <c r="AK497" s="6"/>
      <c r="AL497" s="6"/>
      <c r="AM497" s="6"/>
      <c r="AN497" s="6">
        <v>12</v>
      </c>
      <c r="AO497" s="6">
        <v>4.08</v>
      </c>
      <c r="AP497" s="6">
        <v>23</v>
      </c>
      <c r="AQ497" s="6">
        <v>3.3</v>
      </c>
    </row>
    <row r="498" spans="1:43" ht="12">
      <c r="A498" s="37" t="s">
        <v>52</v>
      </c>
      <c r="B498" s="14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>
        <v>24</v>
      </c>
      <c r="Z498" s="6">
        <v>0.24</v>
      </c>
      <c r="AA498" s="6">
        <v>24</v>
      </c>
      <c r="AB498" s="6">
        <v>0.24</v>
      </c>
      <c r="AC498" s="6"/>
      <c r="AD498" s="6"/>
      <c r="AE498" s="6"/>
      <c r="AF498" s="6">
        <v>24</v>
      </c>
      <c r="AG498" s="6"/>
      <c r="AH498" s="6"/>
      <c r="AI498" s="6"/>
      <c r="AJ498" s="6"/>
      <c r="AK498" s="6"/>
      <c r="AL498" s="6"/>
      <c r="AM498" s="6"/>
      <c r="AN498" s="6">
        <v>16</v>
      </c>
      <c r="AO498" s="6">
        <v>5.44</v>
      </c>
      <c r="AP498" s="6">
        <v>24</v>
      </c>
      <c r="AQ498" s="6">
        <v>3.3</v>
      </c>
    </row>
    <row r="499" spans="1:43" ht="12">
      <c r="A499" s="37" t="s">
        <v>18</v>
      </c>
      <c r="B499" s="14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>
        <v>19</v>
      </c>
      <c r="Z499" s="6">
        <v>0.19</v>
      </c>
      <c r="AA499" s="6">
        <v>19</v>
      </c>
      <c r="AB499" s="6">
        <v>0.19</v>
      </c>
      <c r="AC499" s="6"/>
      <c r="AD499" s="6"/>
      <c r="AE499" s="6"/>
      <c r="AF499" s="6">
        <v>19</v>
      </c>
      <c r="AG499" s="6"/>
      <c r="AH499" s="6"/>
      <c r="AI499" s="6"/>
      <c r="AJ499" s="6"/>
      <c r="AK499" s="6"/>
      <c r="AL499" s="6"/>
      <c r="AM499" s="6"/>
      <c r="AN499" s="6">
        <v>8</v>
      </c>
      <c r="AO499" s="6">
        <v>2.72</v>
      </c>
      <c r="AP499" s="6">
        <v>19</v>
      </c>
      <c r="AQ499" s="6">
        <v>2.6</v>
      </c>
    </row>
    <row r="500" spans="1:43" ht="12">
      <c r="A500" s="37" t="s">
        <v>53</v>
      </c>
      <c r="B500" s="14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>
        <v>16</v>
      </c>
      <c r="Z500" s="6">
        <v>0.16</v>
      </c>
      <c r="AA500" s="6">
        <v>16</v>
      </c>
      <c r="AB500" s="6">
        <v>0.16</v>
      </c>
      <c r="AC500" s="6"/>
      <c r="AD500" s="6"/>
      <c r="AE500" s="6"/>
      <c r="AF500" s="6">
        <v>16</v>
      </c>
      <c r="AG500" s="6"/>
      <c r="AH500" s="6"/>
      <c r="AI500" s="6"/>
      <c r="AJ500" s="6"/>
      <c r="AK500" s="6"/>
      <c r="AL500" s="6"/>
      <c r="AM500" s="6"/>
      <c r="AN500" s="6">
        <v>12</v>
      </c>
      <c r="AO500" s="6">
        <v>4.08</v>
      </c>
      <c r="AP500" s="6">
        <v>16</v>
      </c>
      <c r="AQ500" s="6">
        <v>2.4</v>
      </c>
    </row>
    <row r="501" spans="1:43" ht="12">
      <c r="A501" s="37" t="s">
        <v>54</v>
      </c>
      <c r="B501" s="14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>
        <v>6</v>
      </c>
      <c r="Z501" s="6">
        <v>0.06</v>
      </c>
      <c r="AA501" s="6">
        <v>6</v>
      </c>
      <c r="AB501" s="6">
        <v>0.06</v>
      </c>
      <c r="AC501" s="6"/>
      <c r="AD501" s="6"/>
      <c r="AE501" s="6"/>
      <c r="AF501" s="6">
        <v>6</v>
      </c>
      <c r="AG501" s="6"/>
      <c r="AH501" s="6"/>
      <c r="AI501" s="6"/>
      <c r="AJ501" s="6"/>
      <c r="AK501" s="6"/>
      <c r="AL501" s="6"/>
      <c r="AM501" s="6"/>
      <c r="AN501" s="6">
        <v>10</v>
      </c>
      <c r="AO501" s="6">
        <v>3.4</v>
      </c>
      <c r="AP501" s="6">
        <v>6</v>
      </c>
      <c r="AQ501" s="6">
        <v>1.2</v>
      </c>
    </row>
    <row r="502" spans="1:43" ht="12">
      <c r="A502" s="37" t="s">
        <v>55</v>
      </c>
      <c r="B502" s="14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>
        <v>6</v>
      </c>
      <c r="Z502" s="6">
        <v>0.06</v>
      </c>
      <c r="AA502" s="6">
        <v>6</v>
      </c>
      <c r="AB502" s="6">
        <v>0.06</v>
      </c>
      <c r="AC502" s="6"/>
      <c r="AD502" s="6"/>
      <c r="AE502" s="6"/>
      <c r="AF502" s="6">
        <v>6</v>
      </c>
      <c r="AG502" s="6"/>
      <c r="AH502" s="6"/>
      <c r="AI502" s="6"/>
      <c r="AJ502" s="6"/>
      <c r="AK502" s="6"/>
      <c r="AL502" s="6"/>
      <c r="AM502" s="6"/>
      <c r="AN502" s="6">
        <v>7</v>
      </c>
      <c r="AO502" s="6">
        <v>2.38</v>
      </c>
      <c r="AP502" s="6">
        <v>6</v>
      </c>
      <c r="AQ502" s="6">
        <v>1.2</v>
      </c>
    </row>
    <row r="503" spans="1:43" ht="12">
      <c r="A503" s="37" t="s">
        <v>56</v>
      </c>
      <c r="B503" s="14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>
        <v>6</v>
      </c>
      <c r="Z503" s="6">
        <v>0.06</v>
      </c>
      <c r="AA503" s="6">
        <v>6</v>
      </c>
      <c r="AB503" s="6">
        <v>0.06</v>
      </c>
      <c r="AC503" s="6"/>
      <c r="AD503" s="6"/>
      <c r="AE503" s="6"/>
      <c r="AF503" s="6">
        <v>6</v>
      </c>
      <c r="AG503" s="6"/>
      <c r="AH503" s="6"/>
      <c r="AI503" s="6"/>
      <c r="AJ503" s="6"/>
      <c r="AK503" s="6"/>
      <c r="AL503" s="6"/>
      <c r="AM503" s="6"/>
      <c r="AN503" s="6">
        <v>8</v>
      </c>
      <c r="AO503" s="6">
        <v>2.72</v>
      </c>
      <c r="AP503" s="6">
        <v>6</v>
      </c>
      <c r="AQ503" s="6">
        <v>1.2</v>
      </c>
    </row>
    <row r="504" spans="1:43" ht="12">
      <c r="A504" s="37" t="s">
        <v>26</v>
      </c>
      <c r="B504" s="14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>
        <v>8</v>
      </c>
      <c r="Z504" s="6">
        <v>0.08</v>
      </c>
      <c r="AA504" s="6">
        <v>8</v>
      </c>
      <c r="AB504" s="6">
        <v>0.08</v>
      </c>
      <c r="AC504" s="6"/>
      <c r="AD504" s="6"/>
      <c r="AE504" s="6"/>
      <c r="AF504" s="6">
        <v>8</v>
      </c>
      <c r="AG504" s="6"/>
      <c r="AH504" s="6"/>
      <c r="AI504" s="6"/>
      <c r="AJ504" s="6"/>
      <c r="AK504" s="6"/>
      <c r="AL504" s="6"/>
      <c r="AM504" s="6"/>
      <c r="AN504" s="6">
        <v>8</v>
      </c>
      <c r="AO504" s="6">
        <v>2.72</v>
      </c>
      <c r="AP504" s="6">
        <v>8</v>
      </c>
      <c r="AQ504" s="6">
        <v>1.3</v>
      </c>
    </row>
    <row r="505" spans="1:43" ht="12">
      <c r="A505" s="37" t="s">
        <v>27</v>
      </c>
      <c r="B505" s="14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>
        <v>3</v>
      </c>
      <c r="Z505" s="6">
        <v>0.03</v>
      </c>
      <c r="AA505" s="6">
        <v>3</v>
      </c>
      <c r="AB505" s="6">
        <v>0.03</v>
      </c>
      <c r="AC505" s="6"/>
      <c r="AD505" s="6"/>
      <c r="AE505" s="6"/>
      <c r="AF505" s="6">
        <v>3</v>
      </c>
      <c r="AG505" s="6"/>
      <c r="AH505" s="6"/>
      <c r="AI505" s="6"/>
      <c r="AJ505" s="6"/>
      <c r="AK505" s="6"/>
      <c r="AL505" s="6"/>
      <c r="AM505" s="6"/>
      <c r="AN505" s="6">
        <v>2</v>
      </c>
      <c r="AO505" s="6">
        <v>0.68</v>
      </c>
      <c r="AP505" s="6">
        <v>3</v>
      </c>
      <c r="AQ505" s="6">
        <v>0.55000000000000004</v>
      </c>
    </row>
    <row r="506" spans="1:43" ht="12">
      <c r="A506" s="37" t="s">
        <v>57</v>
      </c>
      <c r="B506" s="14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>
        <v>3</v>
      </c>
      <c r="Z506" s="6">
        <v>0.03</v>
      </c>
      <c r="AA506" s="6">
        <v>3</v>
      </c>
      <c r="AB506" s="6">
        <v>0.03</v>
      </c>
      <c r="AC506" s="6"/>
      <c r="AD506" s="6"/>
      <c r="AE506" s="6"/>
      <c r="AF506" s="6">
        <v>3</v>
      </c>
      <c r="AG506" s="6"/>
      <c r="AH506" s="6"/>
      <c r="AI506" s="6"/>
      <c r="AJ506" s="6"/>
      <c r="AK506" s="6"/>
      <c r="AL506" s="6"/>
      <c r="AM506" s="6"/>
      <c r="AN506" s="6">
        <v>2</v>
      </c>
      <c r="AO506" s="6">
        <v>0.68</v>
      </c>
      <c r="AP506" s="6">
        <v>3</v>
      </c>
      <c r="AQ506" s="6">
        <v>0.55000000000000004</v>
      </c>
    </row>
    <row r="507" spans="1:43" ht="12">
      <c r="A507" s="37" t="s">
        <v>29</v>
      </c>
      <c r="B507" s="14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>
        <v>3</v>
      </c>
      <c r="Z507" s="6">
        <v>0.03</v>
      </c>
      <c r="AA507" s="6">
        <v>3</v>
      </c>
      <c r="AB507" s="6">
        <v>0.03</v>
      </c>
      <c r="AC507" s="6"/>
      <c r="AD507" s="6"/>
      <c r="AE507" s="6"/>
      <c r="AF507" s="6">
        <v>3</v>
      </c>
      <c r="AG507" s="6"/>
      <c r="AH507" s="6"/>
      <c r="AI507" s="6"/>
      <c r="AJ507" s="6"/>
      <c r="AK507" s="6"/>
      <c r="AL507" s="6"/>
      <c r="AM507" s="6"/>
      <c r="AN507" s="6">
        <v>2</v>
      </c>
      <c r="AO507" s="6">
        <v>0.68</v>
      </c>
      <c r="AP507" s="6">
        <v>3</v>
      </c>
      <c r="AQ507" s="6">
        <v>0.55000000000000004</v>
      </c>
    </row>
    <row r="508" spans="1:43" ht="12">
      <c r="A508" s="39" t="s">
        <v>102</v>
      </c>
      <c r="B508" s="33" t="s">
        <v>72</v>
      </c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>
        <f t="shared" ref="S508:T510" si="259">I508+E508</f>
        <v>0</v>
      </c>
      <c r="T508" s="30">
        <f t="shared" si="259"/>
        <v>0</v>
      </c>
      <c r="U508" s="30"/>
      <c r="V508" s="30"/>
      <c r="W508" s="30">
        <f t="shared" ref="W508:AD510" si="260">M508+I508</f>
        <v>0</v>
      </c>
      <c r="X508" s="30">
        <f t="shared" si="260"/>
        <v>0</v>
      </c>
      <c r="Y508" s="30">
        <f t="shared" si="260"/>
        <v>0</v>
      </c>
      <c r="Z508" s="30">
        <f t="shared" si="260"/>
        <v>0</v>
      </c>
      <c r="AA508" s="30">
        <f t="shared" si="260"/>
        <v>0</v>
      </c>
      <c r="AB508" s="30">
        <f t="shared" si="260"/>
        <v>0</v>
      </c>
      <c r="AC508" s="30">
        <f t="shared" si="260"/>
        <v>0</v>
      </c>
      <c r="AD508" s="30">
        <f t="shared" si="260"/>
        <v>0</v>
      </c>
      <c r="AE508" s="30"/>
      <c r="AF508" s="30">
        <f>S508+O508</f>
        <v>0</v>
      </c>
      <c r="AG508" s="30">
        <f>SUM(AG509:AG510)</f>
        <v>0.23299999999999998</v>
      </c>
      <c r="AH508" s="30">
        <f t="shared" ref="AH508:AL508" si="261">SUM(AH509:AH510)</f>
        <v>0.96399999999999997</v>
      </c>
      <c r="AI508" s="30">
        <f t="shared" si="261"/>
        <v>0.19499999999999998</v>
      </c>
      <c r="AJ508" s="30">
        <f t="shared" si="261"/>
        <v>0.78499999999999992</v>
      </c>
      <c r="AK508" s="30">
        <f t="shared" si="261"/>
        <v>0.191</v>
      </c>
      <c r="AL508" s="30">
        <f t="shared" si="261"/>
        <v>2.3679999999999999</v>
      </c>
      <c r="AM508" s="30"/>
      <c r="AN508" s="30">
        <v>0</v>
      </c>
      <c r="AO508" s="30">
        <v>0</v>
      </c>
      <c r="AP508" s="50">
        <f>SUM(AP509:AP510)</f>
        <v>3</v>
      </c>
      <c r="AQ508" s="44">
        <f>SUM(AQ509:AQ510)</f>
        <v>2.3679999999999999</v>
      </c>
    </row>
    <row r="509" spans="1:43">
      <c r="A509" s="37" t="s">
        <v>132</v>
      </c>
      <c r="B509" s="14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>
        <f t="shared" si="259"/>
        <v>0</v>
      </c>
      <c r="T509" s="6">
        <f t="shared" si="259"/>
        <v>0</v>
      </c>
      <c r="U509" s="6"/>
      <c r="V509" s="6"/>
      <c r="W509" s="6">
        <f t="shared" si="260"/>
        <v>0</v>
      </c>
      <c r="X509" s="6">
        <f t="shared" si="260"/>
        <v>0</v>
      </c>
      <c r="Y509" s="6">
        <f t="shared" si="260"/>
        <v>0</v>
      </c>
      <c r="Z509" s="6">
        <f t="shared" si="260"/>
        <v>0</v>
      </c>
      <c r="AA509" s="6">
        <f t="shared" si="260"/>
        <v>0</v>
      </c>
      <c r="AB509" s="6">
        <f t="shared" si="260"/>
        <v>0</v>
      </c>
      <c r="AC509" s="6">
        <v>2</v>
      </c>
      <c r="AD509" s="6">
        <v>0.1</v>
      </c>
      <c r="AE509" s="6"/>
      <c r="AF509" s="6">
        <v>2</v>
      </c>
      <c r="AG509" s="6">
        <f>0.152+0.057</f>
        <v>0.20899999999999999</v>
      </c>
      <c r="AH509" s="6">
        <f>0.33+0.531</f>
        <v>0.86099999999999999</v>
      </c>
      <c r="AI509" s="4">
        <f t="shared" ref="AI509:AI510" si="262">ROUND((AH509)*0.202,3)</f>
        <v>0.17399999999999999</v>
      </c>
      <c r="AJ509" s="21">
        <f>ROUND((AH509)*0.8138,3)</f>
        <v>0.70099999999999996</v>
      </c>
      <c r="AK509" s="6">
        <f>0.014+0.09</f>
        <v>0.104</v>
      </c>
      <c r="AL509" s="10">
        <f>SUM(AG509:AK509)-0.001</f>
        <v>2.048</v>
      </c>
      <c r="AM509" s="6"/>
      <c r="AN509" s="6">
        <v>0</v>
      </c>
      <c r="AO509" s="6">
        <v>0</v>
      </c>
      <c r="AP509" s="6">
        <f t="shared" ref="AP509:AP510" si="263">AF509+Z509</f>
        <v>2</v>
      </c>
      <c r="AQ509" s="10">
        <f>AL509</f>
        <v>2.048</v>
      </c>
    </row>
    <row r="510" spans="1:43">
      <c r="A510" s="37" t="s">
        <v>27</v>
      </c>
      <c r="B510" s="14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>
        <f t="shared" si="259"/>
        <v>0</v>
      </c>
      <c r="T510" s="6">
        <f t="shared" si="259"/>
        <v>0</v>
      </c>
      <c r="U510" s="6"/>
      <c r="V510" s="6"/>
      <c r="W510" s="6">
        <f t="shared" si="260"/>
        <v>0</v>
      </c>
      <c r="X510" s="6">
        <f t="shared" si="260"/>
        <v>0</v>
      </c>
      <c r="Y510" s="6">
        <f t="shared" si="260"/>
        <v>0</v>
      </c>
      <c r="Z510" s="6">
        <f t="shared" si="260"/>
        <v>0</v>
      </c>
      <c r="AA510" s="6">
        <f t="shared" si="260"/>
        <v>0</v>
      </c>
      <c r="AB510" s="6">
        <f t="shared" si="260"/>
        <v>0</v>
      </c>
      <c r="AC510" s="6">
        <v>1</v>
      </c>
      <c r="AD510" s="6">
        <v>0.1</v>
      </c>
      <c r="AE510" s="6"/>
      <c r="AF510" s="6">
        <v>1</v>
      </c>
      <c r="AG510" s="6">
        <v>2.4E-2</v>
      </c>
      <c r="AH510" s="6">
        <v>0.10299999999999999</v>
      </c>
      <c r="AI510" s="4">
        <f t="shared" si="262"/>
        <v>2.1000000000000001E-2</v>
      </c>
      <c r="AJ510" s="21">
        <f t="shared" ref="AJ510" si="264">ROUND((AH510)*0.8138,3)</f>
        <v>8.4000000000000005E-2</v>
      </c>
      <c r="AK510" s="6">
        <v>8.6999999999999994E-2</v>
      </c>
      <c r="AL510" s="10">
        <f>SUM(AG510:AK510)+0.001</f>
        <v>0.31999999999999995</v>
      </c>
      <c r="AM510" s="6"/>
      <c r="AN510" s="6">
        <v>0</v>
      </c>
      <c r="AO510" s="6">
        <v>0</v>
      </c>
      <c r="AP510" s="6">
        <f t="shared" si="263"/>
        <v>1</v>
      </c>
      <c r="AQ510" s="10">
        <f>AL510</f>
        <v>0.31999999999999995</v>
      </c>
    </row>
    <row r="511" spans="1:43" ht="12">
      <c r="A511" s="39" t="s">
        <v>103</v>
      </c>
      <c r="B511" s="33" t="s">
        <v>17</v>
      </c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>
        <f>SUM(Y512:Y528)</f>
        <v>9.0700000000000003E-2</v>
      </c>
      <c r="Z511" s="30">
        <f>SUM(Z512:Z528)</f>
        <v>85.257999999999967</v>
      </c>
      <c r="AA511" s="30">
        <f>SUM(AA512:AA528)</f>
        <v>9.0700000000000003E-2</v>
      </c>
      <c r="AB511" s="30">
        <f>SUM(AB512:AB528)</f>
        <v>85.257999999999967</v>
      </c>
      <c r="AC511" s="30"/>
      <c r="AD511" s="30"/>
      <c r="AE511" s="30"/>
      <c r="AF511" s="30">
        <f>SUM(AF512:AF528)</f>
        <v>9.0700000000000003E-2</v>
      </c>
      <c r="AG511" s="30"/>
      <c r="AH511" s="30"/>
      <c r="AI511" s="30"/>
      <c r="AJ511" s="30"/>
      <c r="AK511" s="30"/>
      <c r="AL511" s="30"/>
      <c r="AM511" s="30"/>
      <c r="AN511" s="30">
        <v>0</v>
      </c>
      <c r="AO511" s="30">
        <v>0</v>
      </c>
      <c r="AP511" s="44">
        <f>SUM(AP512:AP528)</f>
        <v>9.0700000000000003E-2</v>
      </c>
      <c r="AQ511" s="44">
        <f>SUM(AQ512:AQ528)</f>
        <v>69.177999999999997</v>
      </c>
    </row>
    <row r="512" spans="1:43" ht="12">
      <c r="A512" s="37" t="s">
        <v>43</v>
      </c>
      <c r="B512" s="14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>
        <v>8.0000000000000002E-3</v>
      </c>
      <c r="Z512" s="6">
        <v>7.52</v>
      </c>
      <c r="AA512" s="6">
        <v>8.0000000000000002E-3</v>
      </c>
      <c r="AB512" s="6">
        <v>7.52</v>
      </c>
      <c r="AC512" s="6"/>
      <c r="AD512" s="6"/>
      <c r="AE512" s="6"/>
      <c r="AF512" s="6">
        <v>8.0000000000000002E-3</v>
      </c>
      <c r="AG512" s="6"/>
      <c r="AH512" s="6"/>
      <c r="AI512" s="6"/>
      <c r="AJ512" s="6"/>
      <c r="AK512" s="6"/>
      <c r="AL512" s="6"/>
      <c r="AM512" s="6"/>
      <c r="AN512" s="6">
        <v>0</v>
      </c>
      <c r="AO512" s="6">
        <v>0</v>
      </c>
      <c r="AP512" s="6">
        <f>AF512</f>
        <v>8.0000000000000002E-3</v>
      </c>
      <c r="AQ512" s="10">
        <v>6.1020000000000003</v>
      </c>
    </row>
    <row r="513" spans="1:43" ht="12">
      <c r="A513" s="37" t="s">
        <v>22</v>
      </c>
      <c r="B513" s="14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>
        <f>0.0102+0.00275</f>
        <v>1.295E-2</v>
      </c>
      <c r="Z513" s="6">
        <f>9.588+2.585</f>
        <v>12.172999999999998</v>
      </c>
      <c r="AA513" s="6">
        <f>0.0102+0.00275</f>
        <v>1.295E-2</v>
      </c>
      <c r="AB513" s="6">
        <f>9.588+2.585</f>
        <v>12.172999999999998</v>
      </c>
      <c r="AC513" s="6"/>
      <c r="AD513" s="6"/>
      <c r="AE513" s="6"/>
      <c r="AF513" s="6">
        <f>0.0102+0.00275</f>
        <v>1.295E-2</v>
      </c>
      <c r="AG513" s="6"/>
      <c r="AH513" s="6"/>
      <c r="AI513" s="6"/>
      <c r="AJ513" s="6"/>
      <c r="AK513" s="6"/>
      <c r="AL513" s="6"/>
      <c r="AM513" s="6"/>
      <c r="AN513" s="6">
        <v>0</v>
      </c>
      <c r="AO513" s="6">
        <v>0</v>
      </c>
      <c r="AP513" s="6">
        <f t="shared" ref="AP513:AP528" si="265">AF513</f>
        <v>1.295E-2</v>
      </c>
      <c r="AQ513" s="10">
        <v>9.8770000000000007</v>
      </c>
    </row>
    <row r="514" spans="1:43" ht="12">
      <c r="A514" s="37" t="s">
        <v>44</v>
      </c>
      <c r="B514" s="14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>
        <v>7.6E-3</v>
      </c>
      <c r="Z514" s="6">
        <v>7.1440000000000001</v>
      </c>
      <c r="AA514" s="6">
        <v>7.6E-3</v>
      </c>
      <c r="AB514" s="6">
        <v>7.1440000000000001</v>
      </c>
      <c r="AC514" s="6"/>
      <c r="AD514" s="6"/>
      <c r="AE514" s="6"/>
      <c r="AF514" s="6">
        <v>7.6E-3</v>
      </c>
      <c r="AG514" s="6"/>
      <c r="AH514" s="6"/>
      <c r="AI514" s="6"/>
      <c r="AJ514" s="6"/>
      <c r="AK514" s="6"/>
      <c r="AL514" s="6"/>
      <c r="AM514" s="6"/>
      <c r="AN514" s="6">
        <v>0</v>
      </c>
      <c r="AO514" s="6">
        <v>0</v>
      </c>
      <c r="AP514" s="6">
        <f t="shared" si="265"/>
        <v>7.6E-3</v>
      </c>
      <c r="AQ514" s="10">
        <v>5.7969999999999997</v>
      </c>
    </row>
    <row r="515" spans="1:43" ht="12">
      <c r="A515" s="37" t="s">
        <v>36</v>
      </c>
      <c r="B515" s="14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>
        <f>0.0007+0.00275</f>
        <v>3.4499999999999999E-3</v>
      </c>
      <c r="Z515" s="6">
        <f>0.658+2.585</f>
        <v>3.2429999999999999</v>
      </c>
      <c r="AA515" s="6">
        <f>0.0007+0.00275</f>
        <v>3.4499999999999999E-3</v>
      </c>
      <c r="AB515" s="6">
        <f>0.658+2.585</f>
        <v>3.2429999999999999</v>
      </c>
      <c r="AC515" s="6"/>
      <c r="AD515" s="6"/>
      <c r="AE515" s="6"/>
      <c r="AF515" s="6">
        <f>0.0007+0.00275</f>
        <v>3.4499999999999999E-3</v>
      </c>
      <c r="AG515" s="6"/>
      <c r="AH515" s="6"/>
      <c r="AI515" s="6"/>
      <c r="AJ515" s="6"/>
      <c r="AK515" s="6"/>
      <c r="AL515" s="6"/>
      <c r="AM515" s="6"/>
      <c r="AN515" s="6">
        <v>0</v>
      </c>
      <c r="AO515" s="6">
        <v>0</v>
      </c>
      <c r="AP515" s="6">
        <f t="shared" si="265"/>
        <v>3.4499999999999999E-3</v>
      </c>
      <c r="AQ515" s="10">
        <v>2.6309999999999998</v>
      </c>
    </row>
    <row r="516" spans="1:43" ht="12">
      <c r="A516" s="37" t="s">
        <v>37</v>
      </c>
      <c r="B516" s="14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>
        <v>2.7499999999999998E-3</v>
      </c>
      <c r="Z516" s="6">
        <v>2.585</v>
      </c>
      <c r="AA516" s="6">
        <v>2.7499999999999998E-3</v>
      </c>
      <c r="AB516" s="6">
        <v>2.585</v>
      </c>
      <c r="AC516" s="6"/>
      <c r="AD516" s="6"/>
      <c r="AE516" s="6"/>
      <c r="AF516" s="6">
        <v>2.7499999999999998E-3</v>
      </c>
      <c r="AG516" s="6"/>
      <c r="AH516" s="6"/>
      <c r="AI516" s="6"/>
      <c r="AJ516" s="6"/>
      <c r="AK516" s="6"/>
      <c r="AL516" s="6"/>
      <c r="AM516" s="6"/>
      <c r="AN516" s="6">
        <v>0</v>
      </c>
      <c r="AO516" s="6">
        <v>0</v>
      </c>
      <c r="AP516" s="6">
        <f t="shared" si="265"/>
        <v>2.7499999999999998E-3</v>
      </c>
      <c r="AQ516" s="10">
        <v>2.097</v>
      </c>
    </row>
    <row r="517" spans="1:43" ht="12">
      <c r="A517" s="37" t="s">
        <v>23</v>
      </c>
      <c r="B517" s="14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>
        <v>2.7499999999999998E-3</v>
      </c>
      <c r="Z517" s="6">
        <v>2.585</v>
      </c>
      <c r="AA517" s="6">
        <v>2.7499999999999998E-3</v>
      </c>
      <c r="AB517" s="6">
        <v>2.585</v>
      </c>
      <c r="AC517" s="6"/>
      <c r="AD517" s="6"/>
      <c r="AE517" s="6"/>
      <c r="AF517" s="6">
        <v>2.7499999999999998E-3</v>
      </c>
      <c r="AG517" s="6"/>
      <c r="AH517" s="6"/>
      <c r="AI517" s="6"/>
      <c r="AJ517" s="6"/>
      <c r="AK517" s="6"/>
      <c r="AL517" s="6"/>
      <c r="AM517" s="6"/>
      <c r="AN517" s="6">
        <v>0</v>
      </c>
      <c r="AO517" s="6">
        <v>0</v>
      </c>
      <c r="AP517" s="6">
        <f t="shared" si="265"/>
        <v>2.7499999999999998E-3</v>
      </c>
      <c r="AQ517" s="10">
        <v>2.097</v>
      </c>
    </row>
    <row r="518" spans="1:43" ht="12">
      <c r="A518" s="37" t="s">
        <v>45</v>
      </c>
      <c r="B518" s="14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>
        <v>3.8E-3</v>
      </c>
      <c r="Z518" s="6">
        <v>3.5720000000000001</v>
      </c>
      <c r="AA518" s="6">
        <v>3.8E-3</v>
      </c>
      <c r="AB518" s="6">
        <v>3.5720000000000001</v>
      </c>
      <c r="AC518" s="6"/>
      <c r="AD518" s="6"/>
      <c r="AE518" s="6"/>
      <c r="AF518" s="6">
        <v>3.8E-3</v>
      </c>
      <c r="AG518" s="6"/>
      <c r="AH518" s="6"/>
      <c r="AI518" s="6"/>
      <c r="AJ518" s="6"/>
      <c r="AK518" s="6"/>
      <c r="AL518" s="6"/>
      <c r="AM518" s="6"/>
      <c r="AN518" s="6">
        <v>0</v>
      </c>
      <c r="AO518" s="6">
        <v>0</v>
      </c>
      <c r="AP518" s="6">
        <f t="shared" si="265"/>
        <v>3.8E-3</v>
      </c>
      <c r="AQ518" s="10">
        <v>2.8980000000000001</v>
      </c>
    </row>
    <row r="519" spans="1:43" ht="12">
      <c r="A519" s="37" t="s">
        <v>46</v>
      </c>
      <c r="B519" s="14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>
        <v>1.61E-2</v>
      </c>
      <c r="Z519" s="6">
        <v>15.134</v>
      </c>
      <c r="AA519" s="6">
        <v>1.61E-2</v>
      </c>
      <c r="AB519" s="6">
        <v>15.134</v>
      </c>
      <c r="AC519" s="6"/>
      <c r="AD519" s="6"/>
      <c r="AE519" s="6"/>
      <c r="AF519" s="6">
        <v>1.61E-2</v>
      </c>
      <c r="AG519" s="6"/>
      <c r="AH519" s="6"/>
      <c r="AI519" s="6"/>
      <c r="AJ519" s="6"/>
      <c r="AK519" s="6"/>
      <c r="AL519" s="6"/>
      <c r="AM519" s="6"/>
      <c r="AN519" s="6">
        <v>0</v>
      </c>
      <c r="AO519" s="6">
        <v>0</v>
      </c>
      <c r="AP519" s="6">
        <f t="shared" si="265"/>
        <v>1.61E-2</v>
      </c>
      <c r="AQ519" s="10">
        <v>12.28</v>
      </c>
    </row>
    <row r="520" spans="1:43" ht="12">
      <c r="A520" s="37" t="s">
        <v>50</v>
      </c>
      <c r="B520" s="14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>
        <v>1.6000000000000001E-3</v>
      </c>
      <c r="Z520" s="6">
        <v>1.504</v>
      </c>
      <c r="AA520" s="6">
        <v>1.6000000000000001E-3</v>
      </c>
      <c r="AB520" s="6">
        <v>1.504</v>
      </c>
      <c r="AC520" s="6"/>
      <c r="AD520" s="6"/>
      <c r="AE520" s="6"/>
      <c r="AF520" s="6">
        <v>1.6000000000000001E-3</v>
      </c>
      <c r="AG520" s="6"/>
      <c r="AH520" s="6"/>
      <c r="AI520" s="6"/>
      <c r="AJ520" s="6"/>
      <c r="AK520" s="6"/>
      <c r="AL520" s="6"/>
      <c r="AM520" s="6"/>
      <c r="AN520" s="6">
        <v>0</v>
      </c>
      <c r="AO520" s="6">
        <v>0</v>
      </c>
      <c r="AP520" s="6">
        <f t="shared" si="265"/>
        <v>1.6000000000000001E-3</v>
      </c>
      <c r="AQ520" s="10">
        <v>1.22</v>
      </c>
    </row>
    <row r="521" spans="1:43" ht="12">
      <c r="A521" s="37" t="s">
        <v>25</v>
      </c>
      <c r="B521" s="14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>
        <v>6.9999999999999999E-4</v>
      </c>
      <c r="Z521" s="6">
        <v>0.65800000000000003</v>
      </c>
      <c r="AA521" s="6">
        <v>6.9999999999999999E-4</v>
      </c>
      <c r="AB521" s="6">
        <v>0.65800000000000003</v>
      </c>
      <c r="AC521" s="6"/>
      <c r="AD521" s="6"/>
      <c r="AE521" s="6"/>
      <c r="AF521" s="6">
        <v>6.9999999999999999E-4</v>
      </c>
      <c r="AG521" s="6"/>
      <c r="AH521" s="6"/>
      <c r="AI521" s="6"/>
      <c r="AJ521" s="6"/>
      <c r="AK521" s="6"/>
      <c r="AL521" s="6"/>
      <c r="AM521" s="6"/>
      <c r="AN521" s="6">
        <v>0</v>
      </c>
      <c r="AO521" s="6">
        <v>0</v>
      </c>
      <c r="AP521" s="6">
        <f t="shared" si="265"/>
        <v>6.9999999999999999E-4</v>
      </c>
      <c r="AQ521" s="10">
        <v>0.53400000000000003</v>
      </c>
    </row>
    <row r="522" spans="1:43" ht="12">
      <c r="A522" s="37" t="s">
        <v>51</v>
      </c>
      <c r="B522" s="14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>
        <f>0.011+0.00115</f>
        <v>1.2149999999999999E-2</v>
      </c>
      <c r="Z522" s="6">
        <f>10.34+1.081</f>
        <v>11.420999999999999</v>
      </c>
      <c r="AA522" s="6">
        <f>0.011+0.00115</f>
        <v>1.2149999999999999E-2</v>
      </c>
      <c r="AB522" s="6">
        <f>10.34+1.081</f>
        <v>11.420999999999999</v>
      </c>
      <c r="AC522" s="6"/>
      <c r="AD522" s="6"/>
      <c r="AE522" s="6"/>
      <c r="AF522" s="6">
        <f>0.011+0.00115</f>
        <v>1.2149999999999999E-2</v>
      </c>
      <c r="AG522" s="6"/>
      <c r="AH522" s="6"/>
      <c r="AI522" s="6"/>
      <c r="AJ522" s="6"/>
      <c r="AK522" s="6"/>
      <c r="AL522" s="6"/>
      <c r="AM522" s="6"/>
      <c r="AN522" s="6">
        <v>0</v>
      </c>
      <c r="AO522" s="6">
        <v>0</v>
      </c>
      <c r="AP522" s="6">
        <f t="shared" si="265"/>
        <v>1.2149999999999999E-2</v>
      </c>
      <c r="AQ522" s="10">
        <v>9.2669999999999995</v>
      </c>
    </row>
    <row r="523" spans="1:43" ht="12">
      <c r="A523" s="37" t="s">
        <v>53</v>
      </c>
      <c r="B523" s="14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>
        <v>1.0800000000000001E-2</v>
      </c>
      <c r="Z523" s="6">
        <v>10.151999999999999</v>
      </c>
      <c r="AA523" s="6">
        <v>1.0800000000000001E-2</v>
      </c>
      <c r="AB523" s="6">
        <v>10.151999999999999</v>
      </c>
      <c r="AC523" s="6"/>
      <c r="AD523" s="6"/>
      <c r="AE523" s="6"/>
      <c r="AF523" s="6">
        <v>1.0800000000000001E-2</v>
      </c>
      <c r="AG523" s="6"/>
      <c r="AH523" s="6"/>
      <c r="AI523" s="6"/>
      <c r="AJ523" s="6"/>
      <c r="AK523" s="6"/>
      <c r="AL523" s="6"/>
      <c r="AM523" s="6"/>
      <c r="AN523" s="6">
        <v>0</v>
      </c>
      <c r="AO523" s="6">
        <v>0</v>
      </c>
      <c r="AP523" s="6">
        <f t="shared" si="265"/>
        <v>1.0800000000000001E-2</v>
      </c>
      <c r="AQ523" s="10">
        <v>8.2370000000000001</v>
      </c>
    </row>
    <row r="524" spans="1:43" ht="12">
      <c r="A524" s="37" t="s">
        <v>54</v>
      </c>
      <c r="B524" s="14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>
        <v>1E-4</v>
      </c>
      <c r="Z524" s="6">
        <v>9.4E-2</v>
      </c>
      <c r="AA524" s="6">
        <v>1E-4</v>
      </c>
      <c r="AB524" s="6">
        <v>9.4E-2</v>
      </c>
      <c r="AC524" s="6"/>
      <c r="AD524" s="6"/>
      <c r="AE524" s="6"/>
      <c r="AF524" s="6">
        <v>1E-4</v>
      </c>
      <c r="AG524" s="6"/>
      <c r="AH524" s="6"/>
      <c r="AI524" s="6"/>
      <c r="AJ524" s="6"/>
      <c r="AK524" s="6"/>
      <c r="AL524" s="6"/>
      <c r="AM524" s="6"/>
      <c r="AN524" s="6">
        <v>0</v>
      </c>
      <c r="AO524" s="6">
        <v>0</v>
      </c>
      <c r="AP524" s="6">
        <f t="shared" si="265"/>
        <v>1E-4</v>
      </c>
      <c r="AQ524" s="10">
        <v>7.5999999999999998E-2</v>
      </c>
    </row>
    <row r="525" spans="1:43" ht="12">
      <c r="A525" s="37" t="s">
        <v>55</v>
      </c>
      <c r="B525" s="14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>
        <v>8.0000000000000004E-4</v>
      </c>
      <c r="Z525" s="6">
        <v>0.752</v>
      </c>
      <c r="AA525" s="6">
        <v>8.0000000000000004E-4</v>
      </c>
      <c r="AB525" s="6">
        <v>0.752</v>
      </c>
      <c r="AC525" s="6"/>
      <c r="AD525" s="6"/>
      <c r="AE525" s="6"/>
      <c r="AF525" s="6">
        <v>8.0000000000000004E-4</v>
      </c>
      <c r="AG525" s="6"/>
      <c r="AH525" s="6"/>
      <c r="AI525" s="6"/>
      <c r="AJ525" s="6"/>
      <c r="AK525" s="6"/>
      <c r="AL525" s="6"/>
      <c r="AM525" s="6"/>
      <c r="AN525" s="6">
        <v>0</v>
      </c>
      <c r="AO525" s="6">
        <v>0</v>
      </c>
      <c r="AP525" s="6">
        <f t="shared" si="265"/>
        <v>8.0000000000000004E-4</v>
      </c>
      <c r="AQ525" s="10">
        <v>0.61</v>
      </c>
    </row>
    <row r="526" spans="1:43" ht="12">
      <c r="A526" s="37" t="s">
        <v>27</v>
      </c>
      <c r="B526" s="14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>
        <v>5.9999999999999995E-4</v>
      </c>
      <c r="Z526" s="6">
        <v>0.56399999999999995</v>
      </c>
      <c r="AA526" s="6">
        <v>5.9999999999999995E-4</v>
      </c>
      <c r="AB526" s="6">
        <v>0.56399999999999995</v>
      </c>
      <c r="AC526" s="6"/>
      <c r="AD526" s="6"/>
      <c r="AE526" s="6"/>
      <c r="AF526" s="6">
        <v>5.9999999999999995E-4</v>
      </c>
      <c r="AG526" s="6"/>
      <c r="AH526" s="6"/>
      <c r="AI526" s="6"/>
      <c r="AJ526" s="6"/>
      <c r="AK526" s="6"/>
      <c r="AL526" s="6"/>
      <c r="AM526" s="6"/>
      <c r="AN526" s="6">
        <v>0</v>
      </c>
      <c r="AO526" s="6">
        <v>0</v>
      </c>
      <c r="AP526" s="6">
        <f t="shared" si="265"/>
        <v>5.9999999999999995E-4</v>
      </c>
      <c r="AQ526" s="10">
        <v>0.45800000000000002</v>
      </c>
    </row>
    <row r="527" spans="1:43" ht="12">
      <c r="A527" s="37" t="s">
        <v>57</v>
      </c>
      <c r="B527" s="14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>
        <v>1E-3</v>
      </c>
      <c r="Z527" s="6">
        <v>0.94</v>
      </c>
      <c r="AA527" s="6">
        <v>1E-3</v>
      </c>
      <c r="AB527" s="6">
        <v>0.94</v>
      </c>
      <c r="AC527" s="6"/>
      <c r="AD527" s="6"/>
      <c r="AE527" s="6"/>
      <c r="AF527" s="6">
        <v>1E-3</v>
      </c>
      <c r="AG527" s="6"/>
      <c r="AH527" s="6"/>
      <c r="AI527" s="6"/>
      <c r="AJ527" s="6"/>
      <c r="AK527" s="6"/>
      <c r="AL527" s="6"/>
      <c r="AM527" s="6"/>
      <c r="AN527" s="6">
        <v>0</v>
      </c>
      <c r="AO527" s="6">
        <v>0</v>
      </c>
      <c r="AP527" s="6">
        <f t="shared" si="265"/>
        <v>1E-3</v>
      </c>
      <c r="AQ527" s="10">
        <v>0.76300000000000001</v>
      </c>
    </row>
    <row r="528" spans="1:43" ht="12">
      <c r="A528" s="37" t="s">
        <v>29</v>
      </c>
      <c r="B528" s="14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>
        <f>0.0044+0.00115</f>
        <v>5.5500000000000002E-3</v>
      </c>
      <c r="Z528" s="6">
        <v>5.2169999999999996</v>
      </c>
      <c r="AA528" s="6">
        <f>0.0044+0.00115</f>
        <v>5.5500000000000002E-3</v>
      </c>
      <c r="AB528" s="6">
        <v>5.2169999999999996</v>
      </c>
      <c r="AC528" s="6"/>
      <c r="AD528" s="6"/>
      <c r="AE528" s="6"/>
      <c r="AF528" s="6">
        <f>0.0044+0.00115</f>
        <v>5.5500000000000002E-3</v>
      </c>
      <c r="AG528" s="6"/>
      <c r="AH528" s="6"/>
      <c r="AI528" s="6"/>
      <c r="AJ528" s="6"/>
      <c r="AK528" s="6"/>
      <c r="AL528" s="6"/>
      <c r="AM528" s="6"/>
      <c r="AN528" s="6">
        <v>0</v>
      </c>
      <c r="AO528" s="6">
        <v>0</v>
      </c>
      <c r="AP528" s="6">
        <f t="shared" si="265"/>
        <v>5.5500000000000002E-3</v>
      </c>
      <c r="AQ528" s="10">
        <v>4.234</v>
      </c>
    </row>
    <row r="529" spans="1:43" ht="12">
      <c r="A529" s="39" t="s">
        <v>104</v>
      </c>
      <c r="B529" s="33" t="s">
        <v>17</v>
      </c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>
        <f>SUM(Y530:Y545)</f>
        <v>9</v>
      </c>
      <c r="Z529" s="30">
        <f>SUM(Z530:Z545)</f>
        <v>15</v>
      </c>
      <c r="AA529" s="30">
        <f>SUM(AA530:AA545)</f>
        <v>9</v>
      </c>
      <c r="AB529" s="30">
        <f>SUM(AB530:AB545)</f>
        <v>15</v>
      </c>
      <c r="AC529" s="30"/>
      <c r="AD529" s="30"/>
      <c r="AE529" s="30"/>
      <c r="AF529" s="30">
        <f>SUM(AF530:AF545)</f>
        <v>30</v>
      </c>
      <c r="AG529" s="30"/>
      <c r="AH529" s="30"/>
      <c r="AI529" s="30"/>
      <c r="AJ529" s="30"/>
      <c r="AK529" s="30"/>
      <c r="AL529" s="30"/>
      <c r="AM529" s="30"/>
      <c r="AN529" s="30">
        <v>0</v>
      </c>
      <c r="AO529" s="30">
        <v>0</v>
      </c>
      <c r="AP529" s="30">
        <f>SUM(AP530)</f>
        <v>0.04</v>
      </c>
      <c r="AQ529" s="48">
        <f>SUM(AQ530)</f>
        <v>15</v>
      </c>
    </row>
    <row r="530" spans="1:43" ht="12">
      <c r="A530" s="37" t="s">
        <v>47</v>
      </c>
      <c r="B530" s="14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>
        <v>0</v>
      </c>
      <c r="AO530" s="6">
        <v>0</v>
      </c>
      <c r="AP530" s="6">
        <v>0.04</v>
      </c>
      <c r="AQ530" s="54">
        <v>15</v>
      </c>
    </row>
    <row r="531" spans="1:43" ht="12">
      <c r="A531" s="39" t="s">
        <v>152</v>
      </c>
      <c r="B531" s="33" t="s">
        <v>72</v>
      </c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>
        <f>SUM(Y533:Y534)</f>
        <v>3</v>
      </c>
      <c r="Z531" s="30"/>
      <c r="AA531" s="30">
        <f>SUM(AA533:AA534)</f>
        <v>3</v>
      </c>
      <c r="AB531" s="30"/>
      <c r="AC531" s="30"/>
      <c r="AD531" s="30"/>
      <c r="AE531" s="30"/>
      <c r="AF531" s="30">
        <f>SUM(AF533:AF534)</f>
        <v>3</v>
      </c>
      <c r="AG531" s="30">
        <f>SUM(AG532)</f>
        <v>1.0920000000000001</v>
      </c>
      <c r="AH531" s="30">
        <f t="shared" ref="AH531:AL531" si="266">SUM(AH532)</f>
        <v>0.34599999999999997</v>
      </c>
      <c r="AI531" s="30">
        <f t="shared" si="266"/>
        <v>7.0000000000000007E-2</v>
      </c>
      <c r="AJ531" s="30">
        <f t="shared" si="266"/>
        <v>0.28199999999999997</v>
      </c>
      <c r="AK531" s="30">
        <f t="shared" si="266"/>
        <v>0.109</v>
      </c>
      <c r="AL531" s="30">
        <f t="shared" si="266"/>
        <v>1.8980000000000004</v>
      </c>
      <c r="AM531" s="30"/>
      <c r="AN531" s="30">
        <v>0</v>
      </c>
      <c r="AO531" s="30">
        <v>0</v>
      </c>
      <c r="AP531" s="50">
        <f>AP532</f>
        <v>1</v>
      </c>
      <c r="AQ531" s="44">
        <f>AQ532</f>
        <v>1.8980000000000004</v>
      </c>
    </row>
    <row r="532" spans="1:43">
      <c r="A532" s="37" t="s">
        <v>76</v>
      </c>
      <c r="B532" s="14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>
        <v>1</v>
      </c>
      <c r="AD532" s="6">
        <v>1.002</v>
      </c>
      <c r="AE532" s="6"/>
      <c r="AF532" s="6">
        <v>1</v>
      </c>
      <c r="AG532" s="6">
        <v>1.0920000000000001</v>
      </c>
      <c r="AH532" s="6">
        <v>0.34599999999999997</v>
      </c>
      <c r="AI532" s="4">
        <f>ROUND((AH532)*0.202,3)</f>
        <v>7.0000000000000007E-2</v>
      </c>
      <c r="AJ532" s="21">
        <f>ROUND((AH532)*0.8138,3)</f>
        <v>0.28199999999999997</v>
      </c>
      <c r="AK532" s="6">
        <v>0.109</v>
      </c>
      <c r="AL532" s="10">
        <f>SUM(AG532:AK532)-0.001</f>
        <v>1.8980000000000004</v>
      </c>
      <c r="AM532" s="6"/>
      <c r="AN532" s="6">
        <v>0</v>
      </c>
      <c r="AO532" s="6">
        <v>0</v>
      </c>
      <c r="AP532" s="6">
        <f>AF532</f>
        <v>1</v>
      </c>
      <c r="AQ532" s="10">
        <f>AL532</f>
        <v>1.8980000000000004</v>
      </c>
    </row>
    <row r="533" spans="1:43" ht="12">
      <c r="A533" s="39" t="s">
        <v>153</v>
      </c>
      <c r="B533" s="33" t="s">
        <v>72</v>
      </c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>
        <f>SUM(Y536:Y537)</f>
        <v>3</v>
      </c>
      <c r="Z533" s="30"/>
      <c r="AA533" s="30">
        <f>SUM(AA536:AA537)</f>
        <v>3</v>
      </c>
      <c r="AB533" s="30"/>
      <c r="AC533" s="30"/>
      <c r="AD533" s="30"/>
      <c r="AE533" s="30"/>
      <c r="AF533" s="30">
        <f>SUM(AF536:AF537)</f>
        <v>3</v>
      </c>
      <c r="AG533" s="30">
        <f>SUM(AG534:AG537)</f>
        <v>62.780999999999999</v>
      </c>
      <c r="AH533" s="30">
        <f t="shared" ref="AH533:AL533" si="267">SUM(AH534:AH537)</f>
        <v>1.048</v>
      </c>
      <c r="AI533" s="30">
        <f t="shared" si="267"/>
        <v>0.21199999999999999</v>
      </c>
      <c r="AJ533" s="30">
        <f t="shared" si="267"/>
        <v>0.85199999999999998</v>
      </c>
      <c r="AK533" s="30">
        <f t="shared" si="267"/>
        <v>4.3999999999999997E-2</v>
      </c>
      <c r="AL533" s="30">
        <f t="shared" si="267"/>
        <v>64.936999999999998</v>
      </c>
      <c r="AM533" s="30"/>
      <c r="AN533" s="30">
        <v>2</v>
      </c>
      <c r="AO533" s="48">
        <v>700</v>
      </c>
      <c r="AP533" s="30">
        <f>SUM(AP534:AP537)</f>
        <v>3</v>
      </c>
      <c r="AQ533" s="30">
        <f>SUM(AQ534:AQ537)</f>
        <v>64.936999999999998</v>
      </c>
    </row>
    <row r="534" spans="1:43" ht="12">
      <c r="A534" s="37" t="s">
        <v>49</v>
      </c>
      <c r="B534" s="14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>
        <v>1</v>
      </c>
      <c r="AO534" s="54">
        <v>350</v>
      </c>
      <c r="AP534" s="6">
        <v>0</v>
      </c>
      <c r="AQ534" s="6">
        <v>0</v>
      </c>
    </row>
    <row r="535" spans="1:43" ht="12">
      <c r="A535" s="37" t="s">
        <v>51</v>
      </c>
      <c r="B535" s="14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>
        <v>1</v>
      </c>
      <c r="AO535" s="54">
        <v>350</v>
      </c>
      <c r="AP535" s="6">
        <v>0</v>
      </c>
      <c r="AQ535" s="6">
        <v>0</v>
      </c>
    </row>
    <row r="536" spans="1:43">
      <c r="A536" s="37" t="s">
        <v>18</v>
      </c>
      <c r="B536" s="14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>
        <v>2</v>
      </c>
      <c r="Z536" s="6">
        <v>10</v>
      </c>
      <c r="AA536" s="6">
        <v>2</v>
      </c>
      <c r="AB536" s="6">
        <v>10</v>
      </c>
      <c r="AC536" s="6"/>
      <c r="AD536" s="6"/>
      <c r="AE536" s="6"/>
      <c r="AF536" s="6">
        <v>2</v>
      </c>
      <c r="AG536" s="6">
        <f>29.66+0.368</f>
        <v>30.027999999999999</v>
      </c>
      <c r="AH536" s="6">
        <v>0.52400000000000002</v>
      </c>
      <c r="AI536" s="4">
        <f>ROUND((AH536)*0.202,3)</f>
        <v>0.106</v>
      </c>
      <c r="AJ536" s="21">
        <f>ROUND((AH536)*0.8138,3)</f>
        <v>0.42599999999999999</v>
      </c>
      <c r="AK536" s="6">
        <v>2.1999999999999999E-2</v>
      </c>
      <c r="AL536" s="10">
        <f>SUM(AG536:AK536)</f>
        <v>31.105999999999998</v>
      </c>
      <c r="AM536" s="10"/>
      <c r="AN536" s="6">
        <v>0</v>
      </c>
      <c r="AO536" s="6">
        <v>0</v>
      </c>
      <c r="AP536" s="6">
        <f>AF536</f>
        <v>2</v>
      </c>
      <c r="AQ536" s="10">
        <f>AL536</f>
        <v>31.105999999999998</v>
      </c>
    </row>
    <row r="537" spans="1:43">
      <c r="A537" s="37" t="s">
        <v>53</v>
      </c>
      <c r="B537" s="14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>
        <v>1</v>
      </c>
      <c r="Z537" s="6">
        <v>5</v>
      </c>
      <c r="AA537" s="6">
        <v>1</v>
      </c>
      <c r="AB537" s="6">
        <v>5</v>
      </c>
      <c r="AC537" s="6"/>
      <c r="AD537" s="6"/>
      <c r="AE537" s="6"/>
      <c r="AF537" s="6">
        <v>1</v>
      </c>
      <c r="AG537" s="6">
        <f>32.4+0.368-0.015</f>
        <v>32.753</v>
      </c>
      <c r="AH537" s="6">
        <v>0.52400000000000002</v>
      </c>
      <c r="AI537" s="4">
        <f>ROUND((AH537)*0.202,3)</f>
        <v>0.106</v>
      </c>
      <c r="AJ537" s="21">
        <f>ROUND((AH537)*0.8138,3)</f>
        <v>0.42599999999999999</v>
      </c>
      <c r="AK537" s="6">
        <v>2.1999999999999999E-2</v>
      </c>
      <c r="AL537" s="10">
        <f>SUM(AG537:AK537)</f>
        <v>33.831000000000003</v>
      </c>
      <c r="AM537" s="10"/>
      <c r="AN537" s="6">
        <v>0</v>
      </c>
      <c r="AO537" s="6">
        <v>0</v>
      </c>
      <c r="AP537" s="6">
        <f>AF537</f>
        <v>1</v>
      </c>
      <c r="AQ537" s="10">
        <f>AL537</f>
        <v>33.831000000000003</v>
      </c>
    </row>
    <row r="538" spans="1:43" ht="12">
      <c r="A538" s="39" t="s">
        <v>105</v>
      </c>
      <c r="B538" s="33" t="s">
        <v>72</v>
      </c>
      <c r="C538" s="30"/>
      <c r="D538" s="30"/>
      <c r="E538" s="30">
        <f>SUM(E540:E545)</f>
        <v>10</v>
      </c>
      <c r="F538" s="30">
        <f>SUM(F540:F545)</f>
        <v>1.17</v>
      </c>
      <c r="G538" s="30"/>
      <c r="H538" s="30"/>
      <c r="I538" s="30">
        <f>SUM(I540:I545)</f>
        <v>0</v>
      </c>
      <c r="J538" s="30">
        <f>SUM(J540:J545)</f>
        <v>0</v>
      </c>
      <c r="K538" s="30"/>
      <c r="L538" s="30"/>
      <c r="M538" s="30"/>
      <c r="N538" s="30"/>
      <c r="O538" s="30"/>
      <c r="P538" s="30"/>
      <c r="Q538" s="30"/>
      <c r="R538" s="30"/>
      <c r="S538" s="30">
        <f>SUM(S540:S545)</f>
        <v>10</v>
      </c>
      <c r="T538" s="30">
        <f>SUM(T540:T545)</f>
        <v>1.17</v>
      </c>
      <c r="U538" s="30"/>
      <c r="V538" s="30"/>
      <c r="W538" s="30">
        <f t="shared" ref="W538:AD538" si="268">SUM(W540:W545)</f>
        <v>0</v>
      </c>
      <c r="X538" s="30">
        <f t="shared" si="268"/>
        <v>0</v>
      </c>
      <c r="Y538" s="30">
        <f t="shared" si="268"/>
        <v>0</v>
      </c>
      <c r="Z538" s="30">
        <f t="shared" si="268"/>
        <v>0</v>
      </c>
      <c r="AA538" s="30">
        <f t="shared" si="268"/>
        <v>0</v>
      </c>
      <c r="AB538" s="30">
        <f t="shared" si="268"/>
        <v>0</v>
      </c>
      <c r="AC538" s="30">
        <f t="shared" si="268"/>
        <v>0</v>
      </c>
      <c r="AD538" s="30">
        <f t="shared" si="268"/>
        <v>0</v>
      </c>
      <c r="AE538" s="30"/>
      <c r="AF538" s="30">
        <f>SUM(AF540:AF545)</f>
        <v>10</v>
      </c>
      <c r="AG538" s="30"/>
      <c r="AH538" s="30"/>
      <c r="AI538" s="30"/>
      <c r="AJ538" s="30"/>
      <c r="AK538" s="30"/>
      <c r="AL538" s="30"/>
      <c r="AM538" s="30"/>
      <c r="AN538" s="30">
        <v>0</v>
      </c>
      <c r="AO538" s="30">
        <v>0</v>
      </c>
      <c r="AP538" s="30">
        <f>SUM(AP539:AP545)</f>
        <v>25</v>
      </c>
      <c r="AQ538" s="30">
        <f>SUM(AQ539:AQ545)</f>
        <v>24.905999999999999</v>
      </c>
    </row>
    <row r="539" spans="1:43" s="3" customFormat="1" ht="12">
      <c r="A539" s="36" t="s">
        <v>21</v>
      </c>
      <c r="B539" s="14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>
        <v>0</v>
      </c>
      <c r="AO539" s="6">
        <v>0</v>
      </c>
      <c r="AP539" s="6">
        <v>5</v>
      </c>
      <c r="AQ539" s="6">
        <v>4.9809999999999999</v>
      </c>
    </row>
    <row r="540" spans="1:43" ht="12">
      <c r="A540" s="37" t="s">
        <v>36</v>
      </c>
      <c r="B540" s="14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>
        <v>0</v>
      </c>
      <c r="AO540" s="6">
        <v>0</v>
      </c>
      <c r="AP540" s="6">
        <v>4</v>
      </c>
      <c r="AQ540" s="6">
        <v>3.9849999999999999</v>
      </c>
    </row>
    <row r="541" spans="1:43" ht="12">
      <c r="A541" s="37" t="s">
        <v>25</v>
      </c>
      <c r="B541" s="14"/>
      <c r="C541" s="6"/>
      <c r="D541" s="6"/>
      <c r="E541" s="6">
        <v>5</v>
      </c>
      <c r="F541" s="6">
        <v>0.58499999999999996</v>
      </c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>
        <f t="shared" ref="S541:T545" si="269">I541+E541</f>
        <v>5</v>
      </c>
      <c r="T541" s="6">
        <f t="shared" si="269"/>
        <v>0.58499999999999996</v>
      </c>
      <c r="U541" s="6"/>
      <c r="V541" s="6"/>
      <c r="W541" s="6">
        <f t="shared" ref="W541:AB545" si="270">M541+I541</f>
        <v>0</v>
      </c>
      <c r="X541" s="6">
        <f t="shared" si="270"/>
        <v>0</v>
      </c>
      <c r="Y541" s="6">
        <f t="shared" si="270"/>
        <v>0</v>
      </c>
      <c r="Z541" s="6">
        <f t="shared" si="270"/>
        <v>0</v>
      </c>
      <c r="AA541" s="6">
        <f t="shared" si="270"/>
        <v>0</v>
      </c>
      <c r="AB541" s="6">
        <f t="shared" si="270"/>
        <v>0</v>
      </c>
      <c r="AC541" s="6"/>
      <c r="AD541" s="6"/>
      <c r="AE541" s="6"/>
      <c r="AF541" s="6">
        <f>S541+O541</f>
        <v>5</v>
      </c>
      <c r="AG541" s="6"/>
      <c r="AH541" s="6"/>
      <c r="AI541" s="6"/>
      <c r="AJ541" s="6"/>
      <c r="AK541" s="6"/>
      <c r="AL541" s="6"/>
      <c r="AM541" s="6"/>
      <c r="AN541" s="6">
        <v>0</v>
      </c>
      <c r="AO541" s="6">
        <v>0</v>
      </c>
      <c r="AP541" s="6">
        <v>1</v>
      </c>
      <c r="AQ541" s="6">
        <v>0.996</v>
      </c>
    </row>
    <row r="542" spans="1:43" ht="12">
      <c r="A542" s="37" t="s">
        <v>52</v>
      </c>
      <c r="B542" s="14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>
        <v>0</v>
      </c>
      <c r="AO542" s="6">
        <v>0</v>
      </c>
      <c r="AP542" s="6">
        <v>1</v>
      </c>
      <c r="AQ542" s="6">
        <v>0.996</v>
      </c>
    </row>
    <row r="543" spans="1:43" ht="12">
      <c r="A543" s="37" t="s">
        <v>53</v>
      </c>
      <c r="B543" s="14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>
        <v>0</v>
      </c>
      <c r="AO543" s="6">
        <v>0</v>
      </c>
      <c r="AP543" s="6">
        <v>5</v>
      </c>
      <c r="AQ543" s="6">
        <v>4.9809999999999999</v>
      </c>
    </row>
    <row r="544" spans="1:43" ht="12">
      <c r="A544" s="37" t="s">
        <v>26</v>
      </c>
      <c r="B544" s="14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>
        <v>0</v>
      </c>
      <c r="AO544" s="6">
        <v>0</v>
      </c>
      <c r="AP544" s="6">
        <v>7</v>
      </c>
      <c r="AQ544" s="6">
        <v>6.9740000000000002</v>
      </c>
    </row>
    <row r="545" spans="1:43" ht="12">
      <c r="A545" s="37" t="s">
        <v>27</v>
      </c>
      <c r="B545" s="14"/>
      <c r="C545" s="6"/>
      <c r="D545" s="6"/>
      <c r="E545" s="6">
        <v>5</v>
      </c>
      <c r="F545" s="6">
        <v>0.58499999999999996</v>
      </c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>
        <f t="shared" si="269"/>
        <v>5</v>
      </c>
      <c r="T545" s="6">
        <f t="shared" si="269"/>
        <v>0.58499999999999996</v>
      </c>
      <c r="U545" s="6"/>
      <c r="V545" s="6"/>
      <c r="W545" s="6">
        <f t="shared" si="270"/>
        <v>0</v>
      </c>
      <c r="X545" s="6">
        <f t="shared" si="270"/>
        <v>0</v>
      </c>
      <c r="Y545" s="6">
        <f t="shared" si="270"/>
        <v>0</v>
      </c>
      <c r="Z545" s="6">
        <f t="shared" si="270"/>
        <v>0</v>
      </c>
      <c r="AA545" s="6">
        <f t="shared" si="270"/>
        <v>0</v>
      </c>
      <c r="AB545" s="6">
        <f t="shared" si="270"/>
        <v>0</v>
      </c>
      <c r="AC545" s="6"/>
      <c r="AD545" s="6"/>
      <c r="AE545" s="6"/>
      <c r="AF545" s="6">
        <f>S545+O545</f>
        <v>5</v>
      </c>
      <c r="AG545" s="6"/>
      <c r="AH545" s="6"/>
      <c r="AI545" s="6"/>
      <c r="AJ545" s="6"/>
      <c r="AK545" s="6"/>
      <c r="AL545" s="6"/>
      <c r="AM545" s="6"/>
      <c r="AN545" s="6">
        <v>0</v>
      </c>
      <c r="AO545" s="6">
        <v>0</v>
      </c>
      <c r="AP545" s="6">
        <v>2</v>
      </c>
      <c r="AQ545" s="6">
        <v>1.9930000000000001</v>
      </c>
    </row>
    <row r="546" spans="1:43" ht="12">
      <c r="A546" s="39" t="s">
        <v>106</v>
      </c>
      <c r="B546" s="33" t="s">
        <v>72</v>
      </c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>
        <v>4</v>
      </c>
      <c r="T546" s="30">
        <v>2.2050000000000001</v>
      </c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>
        <v>0</v>
      </c>
      <c r="AO546" s="30">
        <v>0</v>
      </c>
      <c r="AP546" s="30">
        <v>4</v>
      </c>
      <c r="AQ546" s="30">
        <v>2.2050000000000001</v>
      </c>
    </row>
    <row r="547" spans="1:43" ht="12">
      <c r="A547" s="40" t="s">
        <v>49</v>
      </c>
      <c r="B547" s="14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>
        <v>4</v>
      </c>
      <c r="T547" s="6">
        <v>2.2050000000000001</v>
      </c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>
        <v>0</v>
      </c>
      <c r="AO547" s="6">
        <v>0</v>
      </c>
      <c r="AP547" s="6">
        <v>4</v>
      </c>
      <c r="AQ547" s="6">
        <v>2.2050000000000001</v>
      </c>
    </row>
    <row r="548" spans="1:43" ht="12">
      <c r="A548" s="39" t="s">
        <v>107</v>
      </c>
      <c r="B548" s="33" t="s">
        <v>108</v>
      </c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>
        <v>0</v>
      </c>
      <c r="AO548" s="30">
        <v>0</v>
      </c>
      <c r="AP548" s="48">
        <f>SUM(AP549:AP577)</f>
        <v>50.000000000000007</v>
      </c>
      <c r="AQ548" s="30">
        <f>SUM(AQ549:AQ577)</f>
        <v>22.499999999999996</v>
      </c>
    </row>
    <row r="549" spans="1:43" ht="12">
      <c r="A549" s="37" t="s">
        <v>21</v>
      </c>
      <c r="B549" s="14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>
        <v>0</v>
      </c>
      <c r="AO549" s="6">
        <v>0</v>
      </c>
      <c r="AP549" s="6">
        <v>1.5249999999999999</v>
      </c>
      <c r="AQ549" s="6">
        <v>0.68600000000000005</v>
      </c>
    </row>
    <row r="550" spans="1:43" ht="12">
      <c r="A550" s="37" t="s">
        <v>43</v>
      </c>
      <c r="B550" s="14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>
        <v>0</v>
      </c>
      <c r="AO550" s="6">
        <v>0</v>
      </c>
      <c r="AP550" s="6">
        <v>1.4330000000000001</v>
      </c>
      <c r="AQ550" s="6">
        <v>0.64500000000000002</v>
      </c>
    </row>
    <row r="551" spans="1:43" ht="12">
      <c r="A551" s="37" t="s">
        <v>22</v>
      </c>
      <c r="B551" s="14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>
        <v>0</v>
      </c>
      <c r="AO551" s="6">
        <v>0</v>
      </c>
      <c r="AP551" s="6">
        <v>1.0009999999999999</v>
      </c>
      <c r="AQ551" s="6">
        <v>0.45100000000000001</v>
      </c>
    </row>
    <row r="552" spans="1:43" ht="12">
      <c r="A552" s="37" t="s">
        <v>44</v>
      </c>
      <c r="B552" s="14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>
        <v>0</v>
      </c>
      <c r="AO552" s="6">
        <v>0</v>
      </c>
      <c r="AP552" s="6">
        <v>1.819</v>
      </c>
      <c r="AQ552" s="6">
        <v>0.81899999999999995</v>
      </c>
    </row>
    <row r="553" spans="1:43" ht="12">
      <c r="A553" s="37" t="s">
        <v>36</v>
      </c>
      <c r="B553" s="14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>
        <v>0</v>
      </c>
      <c r="AO553" s="6">
        <v>0</v>
      </c>
      <c r="AP553" s="6">
        <v>4.8760000000000003</v>
      </c>
      <c r="AQ553" s="6">
        <v>2.194</v>
      </c>
    </row>
    <row r="554" spans="1:43" ht="12">
      <c r="A554" s="37" t="s">
        <v>37</v>
      </c>
      <c r="B554" s="14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>
        <v>0</v>
      </c>
      <c r="AO554" s="6">
        <v>0</v>
      </c>
      <c r="AP554" s="6">
        <v>0.99</v>
      </c>
      <c r="AQ554" s="6">
        <v>0.44600000000000001</v>
      </c>
    </row>
    <row r="555" spans="1:43" ht="12">
      <c r="A555" s="37" t="s">
        <v>23</v>
      </c>
      <c r="B555" s="14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>
        <v>0</v>
      </c>
      <c r="AO555" s="6">
        <v>0</v>
      </c>
      <c r="AP555" s="6">
        <v>1.0169999999999999</v>
      </c>
      <c r="AQ555" s="6">
        <v>0.45800000000000002</v>
      </c>
    </row>
    <row r="556" spans="1:43" ht="12">
      <c r="A556" s="37" t="s">
        <v>38</v>
      </c>
      <c r="B556" s="14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>
        <v>0</v>
      </c>
      <c r="AO556" s="6">
        <v>0</v>
      </c>
      <c r="AP556" s="6">
        <v>5.2169999999999996</v>
      </c>
      <c r="AQ556" s="6">
        <v>2.3479999999999999</v>
      </c>
    </row>
    <row r="557" spans="1:43" ht="12">
      <c r="A557" s="37" t="s">
        <v>45</v>
      </c>
      <c r="B557" s="14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>
        <v>0</v>
      </c>
      <c r="AO557" s="6">
        <v>0</v>
      </c>
      <c r="AP557" s="6">
        <v>1.4319999999999999</v>
      </c>
      <c r="AQ557" s="6">
        <v>0.64400000000000002</v>
      </c>
    </row>
    <row r="558" spans="1:43" ht="12">
      <c r="A558" s="37" t="s">
        <v>46</v>
      </c>
      <c r="B558" s="14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>
        <v>0</v>
      </c>
      <c r="AO558" s="6">
        <v>0</v>
      </c>
      <c r="AP558" s="6">
        <v>1.2370000000000001</v>
      </c>
      <c r="AQ558" s="6">
        <v>0.55600000000000005</v>
      </c>
    </row>
    <row r="559" spans="1:43" ht="12">
      <c r="A559" s="37" t="s">
        <v>24</v>
      </c>
      <c r="B559" s="14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>
        <v>0</v>
      </c>
      <c r="AO559" s="6">
        <v>0</v>
      </c>
      <c r="AP559" s="6">
        <v>1.7370000000000001</v>
      </c>
      <c r="AQ559" s="6">
        <v>0.78200000000000003</v>
      </c>
    </row>
    <row r="560" spans="1:43" ht="12">
      <c r="A560" s="37" t="s">
        <v>47</v>
      </c>
      <c r="B560" s="14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>
        <v>0</v>
      </c>
      <c r="AO560" s="6">
        <v>0</v>
      </c>
      <c r="AP560" s="6">
        <v>1.411</v>
      </c>
      <c r="AQ560" s="6">
        <v>0.63500000000000001</v>
      </c>
    </row>
    <row r="561" spans="1:43" ht="12">
      <c r="A561" s="37" t="s">
        <v>40</v>
      </c>
      <c r="B561" s="14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>
        <v>0</v>
      </c>
      <c r="AO561" s="6">
        <v>0</v>
      </c>
      <c r="AP561" s="6">
        <v>1.478</v>
      </c>
      <c r="AQ561" s="6">
        <v>0.66500000000000004</v>
      </c>
    </row>
    <row r="562" spans="1:43" ht="12">
      <c r="A562" s="37" t="s">
        <v>48</v>
      </c>
      <c r="B562" s="14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>
        <v>0</v>
      </c>
      <c r="AO562" s="6">
        <v>0</v>
      </c>
      <c r="AP562" s="6">
        <v>1.034</v>
      </c>
      <c r="AQ562" s="6">
        <v>0.46500000000000002</v>
      </c>
    </row>
    <row r="563" spans="1:43" ht="12">
      <c r="A563" s="37" t="s">
        <v>41</v>
      </c>
      <c r="B563" s="14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>
        <v>0</v>
      </c>
      <c r="AO563" s="6">
        <v>0</v>
      </c>
      <c r="AP563" s="6">
        <v>0.94899999999999995</v>
      </c>
      <c r="AQ563" s="6">
        <v>0.42699999999999999</v>
      </c>
    </row>
    <row r="564" spans="1:43" ht="12">
      <c r="A564" s="37" t="s">
        <v>49</v>
      </c>
      <c r="B564" s="14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>
        <v>0</v>
      </c>
      <c r="AO564" s="6">
        <v>0</v>
      </c>
      <c r="AP564" s="6">
        <v>0.87</v>
      </c>
      <c r="AQ564" s="6">
        <v>0.39100000000000001</v>
      </c>
    </row>
    <row r="565" spans="1:43" ht="12">
      <c r="A565" s="37" t="s">
        <v>50</v>
      </c>
      <c r="B565" s="14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>
        <v>0</v>
      </c>
      <c r="AO565" s="6">
        <v>0</v>
      </c>
      <c r="AP565" s="6">
        <v>1.042</v>
      </c>
      <c r="AQ565" s="6">
        <v>0.46899999999999997</v>
      </c>
    </row>
    <row r="566" spans="1:43" ht="12">
      <c r="A566" s="37" t="s">
        <v>25</v>
      </c>
      <c r="B566" s="14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>
        <v>0</v>
      </c>
      <c r="AO566" s="6">
        <v>0</v>
      </c>
      <c r="AP566" s="6">
        <v>0.97499999999999998</v>
      </c>
      <c r="AQ566" s="6">
        <v>0.439</v>
      </c>
    </row>
    <row r="567" spans="1:43" ht="12">
      <c r="A567" s="37" t="s">
        <v>51</v>
      </c>
      <c r="B567" s="14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>
        <v>0</v>
      </c>
      <c r="AO567" s="6">
        <v>0</v>
      </c>
      <c r="AP567" s="6">
        <v>5.1429999999999998</v>
      </c>
      <c r="AQ567" s="6">
        <v>2.3149999999999999</v>
      </c>
    </row>
    <row r="568" spans="1:43" ht="12">
      <c r="A568" s="37" t="s">
        <v>52</v>
      </c>
      <c r="B568" s="14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>
        <v>0</v>
      </c>
      <c r="AO568" s="6">
        <v>0</v>
      </c>
      <c r="AP568" s="6">
        <v>3.25</v>
      </c>
      <c r="AQ568" s="6">
        <v>1.4630000000000001</v>
      </c>
    </row>
    <row r="569" spans="1:43" ht="12">
      <c r="A569" s="37" t="s">
        <v>18</v>
      </c>
      <c r="B569" s="14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>
        <v>0</v>
      </c>
      <c r="AO569" s="6">
        <v>0</v>
      </c>
      <c r="AP569" s="6">
        <v>2.5230000000000001</v>
      </c>
      <c r="AQ569" s="6">
        <v>1.135</v>
      </c>
    </row>
    <row r="570" spans="1:43" ht="12">
      <c r="A570" s="37" t="s">
        <v>53</v>
      </c>
      <c r="B570" s="14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>
        <v>0</v>
      </c>
      <c r="AO570" s="6">
        <v>0</v>
      </c>
      <c r="AP570" s="6">
        <v>2.0779999999999998</v>
      </c>
      <c r="AQ570" s="6">
        <v>0.93500000000000005</v>
      </c>
    </row>
    <row r="571" spans="1:43" ht="12">
      <c r="A571" s="37" t="s">
        <v>54</v>
      </c>
      <c r="B571" s="14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>
        <v>0</v>
      </c>
      <c r="AO571" s="6">
        <v>0</v>
      </c>
      <c r="AP571" s="6">
        <v>0.94299999999999995</v>
      </c>
      <c r="AQ571" s="6">
        <v>0.42399999999999999</v>
      </c>
    </row>
    <row r="572" spans="1:43" ht="12">
      <c r="A572" s="37" t="s">
        <v>55</v>
      </c>
      <c r="B572" s="14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>
        <v>0</v>
      </c>
      <c r="AO572" s="6">
        <v>0</v>
      </c>
      <c r="AP572" s="6">
        <v>0.91500000000000004</v>
      </c>
      <c r="AQ572" s="6">
        <v>0.41199999999999998</v>
      </c>
    </row>
    <row r="573" spans="1:43" ht="12">
      <c r="A573" s="37" t="s">
        <v>56</v>
      </c>
      <c r="B573" s="14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>
        <v>0</v>
      </c>
      <c r="AO573" s="6">
        <v>0</v>
      </c>
      <c r="AP573" s="6">
        <v>0.93400000000000005</v>
      </c>
      <c r="AQ573" s="6">
        <v>0.42</v>
      </c>
    </row>
    <row r="574" spans="1:43" ht="12">
      <c r="A574" s="37" t="s">
        <v>26</v>
      </c>
      <c r="B574" s="14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>
        <v>0</v>
      </c>
      <c r="AO574" s="6">
        <v>0</v>
      </c>
      <c r="AP574" s="6">
        <v>1.252</v>
      </c>
      <c r="AQ574" s="6">
        <v>0.56299999999999994</v>
      </c>
    </row>
    <row r="575" spans="1:43" ht="12">
      <c r="A575" s="37" t="s">
        <v>27</v>
      </c>
      <c r="B575" s="14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>
        <v>0</v>
      </c>
      <c r="AO575" s="6">
        <v>0</v>
      </c>
      <c r="AP575" s="6">
        <v>1.0249999999999999</v>
      </c>
      <c r="AQ575" s="6">
        <v>0.46100000000000002</v>
      </c>
    </row>
    <row r="576" spans="1:43" ht="12">
      <c r="A576" s="37" t="s">
        <v>57</v>
      </c>
      <c r="B576" s="14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>
        <v>0</v>
      </c>
      <c r="AO576" s="6">
        <v>0</v>
      </c>
      <c r="AP576" s="6">
        <v>0.95099999999999996</v>
      </c>
      <c r="AQ576" s="6">
        <v>0.42799999999999999</v>
      </c>
    </row>
    <row r="577" spans="1:43" ht="12">
      <c r="A577" s="37" t="s">
        <v>29</v>
      </c>
      <c r="B577" s="14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>
        <v>0</v>
      </c>
      <c r="AO577" s="6">
        <v>0</v>
      </c>
      <c r="AP577" s="6">
        <v>0.94299999999999995</v>
      </c>
      <c r="AQ577" s="6">
        <v>0.42399999999999999</v>
      </c>
    </row>
    <row r="578" spans="1:43" ht="12">
      <c r="A578" s="39" t="s">
        <v>109</v>
      </c>
      <c r="B578" s="33" t="s">
        <v>154</v>
      </c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>
        <v>0</v>
      </c>
      <c r="AP578" s="30"/>
      <c r="AQ578" s="30">
        <f>SUM(AQ579:AQ607)</f>
        <v>930.61500000000024</v>
      </c>
    </row>
    <row r="579" spans="1:43" s="3" customFormat="1" ht="12">
      <c r="A579" s="37" t="s">
        <v>21</v>
      </c>
      <c r="B579" s="14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>
        <v>0</v>
      </c>
      <c r="AP579" s="6"/>
      <c r="AQ579" s="6">
        <v>28.536000000000001</v>
      </c>
    </row>
    <row r="580" spans="1:43" s="3" customFormat="1" ht="12">
      <c r="A580" s="37" t="s">
        <v>43</v>
      </c>
      <c r="B580" s="14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>
        <v>0</v>
      </c>
      <c r="AP580" s="6"/>
      <c r="AQ580" s="6">
        <v>26.824000000000002</v>
      </c>
    </row>
    <row r="581" spans="1:43" s="3" customFormat="1" ht="12">
      <c r="A581" s="37" t="s">
        <v>22</v>
      </c>
      <c r="B581" s="14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>
        <v>0</v>
      </c>
      <c r="AP581" s="6"/>
      <c r="AQ581" s="6">
        <v>18.739999999999998</v>
      </c>
    </row>
    <row r="582" spans="1:43" s="3" customFormat="1" ht="12">
      <c r="A582" s="37" t="s">
        <v>44</v>
      </c>
      <c r="B582" s="14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>
        <v>0</v>
      </c>
      <c r="AP582" s="6"/>
      <c r="AQ582" s="6">
        <v>34.048999999999999</v>
      </c>
    </row>
    <row r="583" spans="1:43" s="3" customFormat="1" ht="12">
      <c r="A583" s="37" t="s">
        <v>36</v>
      </c>
      <c r="B583" s="14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>
        <v>0</v>
      </c>
      <c r="AP583" s="6"/>
      <c r="AQ583" s="6">
        <v>91.263000000000005</v>
      </c>
    </row>
    <row r="584" spans="1:43" s="3" customFormat="1" ht="12">
      <c r="A584" s="37" t="s">
        <v>37</v>
      </c>
      <c r="B584" s="14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>
        <v>0</v>
      </c>
      <c r="AP584" s="6"/>
      <c r="AQ584" s="6">
        <v>18.533999999999999</v>
      </c>
    </row>
    <row r="585" spans="1:43" s="3" customFormat="1" ht="12">
      <c r="A585" s="37" t="s">
        <v>23</v>
      </c>
      <c r="B585" s="14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>
        <v>0</v>
      </c>
      <c r="AP585" s="6"/>
      <c r="AQ585" s="6">
        <v>19.038</v>
      </c>
    </row>
    <row r="586" spans="1:43" s="3" customFormat="1" ht="12">
      <c r="A586" s="37" t="s">
        <v>38</v>
      </c>
      <c r="B586" s="14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>
        <v>0</v>
      </c>
      <c r="AP586" s="6"/>
      <c r="AQ586" s="6">
        <v>97.635999999999996</v>
      </c>
    </row>
    <row r="587" spans="1:43" s="3" customFormat="1" ht="12">
      <c r="A587" s="37" t="s">
        <v>45</v>
      </c>
      <c r="B587" s="14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>
        <v>0</v>
      </c>
      <c r="AP587" s="6"/>
      <c r="AQ587" s="6">
        <v>23.465</v>
      </c>
    </row>
    <row r="588" spans="1:43" s="3" customFormat="1" ht="12">
      <c r="A588" s="37" t="s">
        <v>46</v>
      </c>
      <c r="B588" s="14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>
        <v>0</v>
      </c>
      <c r="AP588" s="6"/>
      <c r="AQ588" s="6">
        <v>23.143999999999998</v>
      </c>
    </row>
    <row r="589" spans="1:43" s="3" customFormat="1" ht="12">
      <c r="A589" s="37" t="s">
        <v>24</v>
      </c>
      <c r="B589" s="14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>
        <v>0</v>
      </c>
      <c r="AP589" s="6"/>
      <c r="AQ589" s="6">
        <v>32.503999999999998</v>
      </c>
    </row>
    <row r="590" spans="1:43" s="3" customFormat="1" ht="12">
      <c r="A590" s="37" t="s">
        <v>47</v>
      </c>
      <c r="B590" s="14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>
        <v>0</v>
      </c>
      <c r="AP590" s="6"/>
      <c r="AQ590" s="6">
        <v>26.398</v>
      </c>
    </row>
    <row r="591" spans="1:43" s="3" customFormat="1" ht="12">
      <c r="A591" s="37" t="s">
        <v>40</v>
      </c>
      <c r="B591" s="14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>
        <v>0</v>
      </c>
      <c r="AP591" s="6"/>
      <c r="AQ591" s="6">
        <v>27.663</v>
      </c>
    </row>
    <row r="592" spans="1:43" s="3" customFormat="1" ht="12">
      <c r="A592" s="37" t="s">
        <v>48</v>
      </c>
      <c r="B592" s="14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>
        <v>0</v>
      </c>
      <c r="AP592" s="6"/>
      <c r="AQ592" s="6">
        <v>18.207000000000001</v>
      </c>
    </row>
    <row r="593" spans="1:43" s="3" customFormat="1" ht="12">
      <c r="A593" s="37" t="s">
        <v>41</v>
      </c>
      <c r="B593" s="14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>
        <v>0</v>
      </c>
      <c r="AP593" s="6"/>
      <c r="AQ593" s="6">
        <v>17.760999999999999</v>
      </c>
    </row>
    <row r="594" spans="1:43" s="3" customFormat="1" ht="12">
      <c r="A594" s="37" t="s">
        <v>49</v>
      </c>
      <c r="B594" s="14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>
        <v>0</v>
      </c>
      <c r="AP594" s="6"/>
      <c r="AQ594" s="6">
        <v>15.629</v>
      </c>
    </row>
    <row r="595" spans="1:43" s="3" customFormat="1" ht="12">
      <c r="A595" s="37" t="s">
        <v>50</v>
      </c>
      <c r="B595" s="14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>
        <v>0</v>
      </c>
      <c r="AP595" s="6"/>
      <c r="AQ595" s="6">
        <v>19.494</v>
      </c>
    </row>
    <row r="596" spans="1:43" s="3" customFormat="1" ht="12">
      <c r="A596" s="37" t="s">
        <v>25</v>
      </c>
      <c r="B596" s="14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>
        <v>0</v>
      </c>
      <c r="AP596" s="6"/>
      <c r="AQ596" s="6">
        <v>18.244</v>
      </c>
    </row>
    <row r="597" spans="1:43" s="3" customFormat="1" ht="12">
      <c r="A597" s="37" t="s">
        <v>51</v>
      </c>
      <c r="B597" s="14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>
        <v>0</v>
      </c>
      <c r="AP597" s="6"/>
      <c r="AQ597" s="6">
        <v>96.259</v>
      </c>
    </row>
    <row r="598" spans="1:43" s="3" customFormat="1" ht="12">
      <c r="A598" s="37" t="s">
        <v>52</v>
      </c>
      <c r="B598" s="14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>
        <v>0</v>
      </c>
      <c r="AP598" s="6"/>
      <c r="AQ598" s="6">
        <v>60.831000000000003</v>
      </c>
    </row>
    <row r="599" spans="1:43" s="3" customFormat="1" ht="12">
      <c r="A599" s="37" t="s">
        <v>18</v>
      </c>
      <c r="B599" s="14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>
        <v>0</v>
      </c>
      <c r="AP599" s="6"/>
      <c r="AQ599" s="6">
        <v>47.215000000000003</v>
      </c>
    </row>
    <row r="600" spans="1:43" s="3" customFormat="1" ht="12">
      <c r="A600" s="37" t="s">
        <v>53</v>
      </c>
      <c r="B600" s="14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>
        <v>0</v>
      </c>
      <c r="AP600" s="6"/>
      <c r="AQ600" s="6">
        <v>38.898000000000003</v>
      </c>
    </row>
    <row r="601" spans="1:43" s="3" customFormat="1" ht="12">
      <c r="A601" s="37" t="s">
        <v>54</v>
      </c>
      <c r="B601" s="14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>
        <v>0</v>
      </c>
      <c r="AP601" s="6"/>
      <c r="AQ601" s="6">
        <v>17.643999999999998</v>
      </c>
    </row>
    <row r="602" spans="1:43" s="3" customFormat="1" ht="12">
      <c r="A602" s="37" t="s">
        <v>55</v>
      </c>
      <c r="B602" s="1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>
        <v>0</v>
      </c>
      <c r="AP602" s="6"/>
      <c r="AQ602" s="6">
        <v>17.123999999999999</v>
      </c>
    </row>
    <row r="603" spans="1:43" s="3" customFormat="1" ht="12">
      <c r="A603" s="37" t="s">
        <v>56</v>
      </c>
      <c r="B603" s="14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>
        <v>0</v>
      </c>
      <c r="AP603" s="6"/>
      <c r="AQ603" s="6">
        <v>17.483000000000001</v>
      </c>
    </row>
    <row r="604" spans="1:43" s="3" customFormat="1" ht="12">
      <c r="A604" s="37" t="s">
        <v>26</v>
      </c>
      <c r="B604" s="14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>
        <v>0</v>
      </c>
      <c r="AP604" s="6"/>
      <c r="AQ604" s="6">
        <v>23.422000000000001</v>
      </c>
    </row>
    <row r="605" spans="1:43" s="3" customFormat="1" ht="12">
      <c r="A605" s="37" t="s">
        <v>27</v>
      </c>
      <c r="B605" s="14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>
        <v>0</v>
      </c>
      <c r="AP605" s="6"/>
      <c r="AQ605" s="6">
        <v>19.178000000000001</v>
      </c>
    </row>
    <row r="606" spans="1:43" s="3" customFormat="1" ht="12">
      <c r="A606" s="37" t="s">
        <v>57</v>
      </c>
      <c r="B606" s="14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>
        <v>0</v>
      </c>
      <c r="AP606" s="6"/>
      <c r="AQ606" s="6">
        <v>17.797000000000001</v>
      </c>
    </row>
    <row r="607" spans="1:43" s="3" customFormat="1" ht="12">
      <c r="A607" s="37" t="s">
        <v>29</v>
      </c>
      <c r="B607" s="14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>
        <v>0</v>
      </c>
      <c r="AP607" s="6"/>
      <c r="AQ607" s="6">
        <v>17.635000000000002</v>
      </c>
    </row>
    <row r="608" spans="1:43" ht="12">
      <c r="A608" s="56" t="s">
        <v>110</v>
      </c>
      <c r="B608" s="33" t="s">
        <v>154</v>
      </c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>
        <v>1530.434</v>
      </c>
      <c r="U608" s="30"/>
      <c r="V608" s="30"/>
      <c r="W608" s="30"/>
      <c r="X608" s="30">
        <v>1530.434</v>
      </c>
      <c r="Y608" s="30"/>
      <c r="Z608" s="30">
        <v>1530.434</v>
      </c>
      <c r="AA608" s="30"/>
      <c r="AB608" s="30">
        <v>1530.434</v>
      </c>
      <c r="AC608" s="30"/>
      <c r="AD608" s="30">
        <v>1530.434</v>
      </c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>
        <v>0</v>
      </c>
      <c r="AP608" s="30"/>
      <c r="AQ608" s="30">
        <v>1530.434</v>
      </c>
    </row>
    <row r="609" spans="1:43" s="3" customFormat="1" ht="12">
      <c r="A609" s="37" t="s">
        <v>21</v>
      </c>
      <c r="B609" s="14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>
        <v>46.671999999999997</v>
      </c>
      <c r="U609" s="6"/>
      <c r="V609" s="6"/>
      <c r="W609" s="6"/>
      <c r="X609" s="6">
        <v>46.671999999999997</v>
      </c>
      <c r="Y609" s="6"/>
      <c r="Z609" s="6">
        <v>46.671999999999997</v>
      </c>
      <c r="AA609" s="6"/>
      <c r="AB609" s="6">
        <v>46.671999999999997</v>
      </c>
      <c r="AC609" s="6"/>
      <c r="AD609" s="6">
        <v>46.671999999999997</v>
      </c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>
        <v>0</v>
      </c>
      <c r="AP609" s="6"/>
      <c r="AQ609" s="6">
        <v>46.671999999999997</v>
      </c>
    </row>
    <row r="610" spans="1:43" s="3" customFormat="1" ht="12">
      <c r="A610" s="37" t="s">
        <v>43</v>
      </c>
      <c r="B610" s="14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>
        <v>43.871000000000002</v>
      </c>
      <c r="U610" s="6"/>
      <c r="V610" s="6"/>
      <c r="W610" s="6"/>
      <c r="X610" s="6">
        <v>43.871000000000002</v>
      </c>
      <c r="Y610" s="6"/>
      <c r="Z610" s="6">
        <v>43.871000000000002</v>
      </c>
      <c r="AA610" s="6"/>
      <c r="AB610" s="6">
        <v>43.871000000000002</v>
      </c>
      <c r="AC610" s="6"/>
      <c r="AD610" s="6">
        <v>43.871000000000002</v>
      </c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>
        <v>0</v>
      </c>
      <c r="AP610" s="6"/>
      <c r="AQ610" s="6">
        <v>43.871000000000002</v>
      </c>
    </row>
    <row r="611" spans="1:43" s="3" customFormat="1" ht="12">
      <c r="A611" s="37" t="s">
        <v>22</v>
      </c>
      <c r="B611" s="14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>
        <v>30.65</v>
      </c>
      <c r="U611" s="6"/>
      <c r="V611" s="6"/>
      <c r="W611" s="6"/>
      <c r="X611" s="6">
        <v>30.65</v>
      </c>
      <c r="Y611" s="6"/>
      <c r="Z611" s="6">
        <v>30.65</v>
      </c>
      <c r="AA611" s="6"/>
      <c r="AB611" s="6">
        <v>30.65</v>
      </c>
      <c r="AC611" s="6"/>
      <c r="AD611" s="6">
        <v>30.65</v>
      </c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>
        <v>0</v>
      </c>
      <c r="AP611" s="6"/>
      <c r="AQ611" s="6">
        <v>30.65</v>
      </c>
    </row>
    <row r="612" spans="1:43" s="3" customFormat="1" ht="12">
      <c r="A612" s="37" t="s">
        <v>44</v>
      </c>
      <c r="B612" s="14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>
        <v>55.688000000000002</v>
      </c>
      <c r="U612" s="6"/>
      <c r="V612" s="6"/>
      <c r="W612" s="6"/>
      <c r="X612" s="6">
        <v>55.688000000000002</v>
      </c>
      <c r="Y612" s="6"/>
      <c r="Z612" s="6">
        <v>55.688000000000002</v>
      </c>
      <c r="AA612" s="6"/>
      <c r="AB612" s="6">
        <v>55.688000000000002</v>
      </c>
      <c r="AC612" s="6"/>
      <c r="AD612" s="6">
        <v>55.688000000000002</v>
      </c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>
        <v>0</v>
      </c>
      <c r="AP612" s="6"/>
      <c r="AQ612" s="6">
        <v>55.688000000000002</v>
      </c>
    </row>
    <row r="613" spans="1:43" s="3" customFormat="1" ht="12">
      <c r="A613" s="37" t="s">
        <v>36</v>
      </c>
      <c r="B613" s="14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>
        <v>149.262</v>
      </c>
      <c r="U613" s="6"/>
      <c r="V613" s="6"/>
      <c r="W613" s="6"/>
      <c r="X613" s="6">
        <v>149.262</v>
      </c>
      <c r="Y613" s="6"/>
      <c r="Z613" s="6">
        <v>149.262</v>
      </c>
      <c r="AA613" s="6"/>
      <c r="AB613" s="6">
        <v>149.262</v>
      </c>
      <c r="AC613" s="6"/>
      <c r="AD613" s="6">
        <v>149.262</v>
      </c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>
        <v>0</v>
      </c>
      <c r="AP613" s="6"/>
      <c r="AQ613" s="6">
        <v>149.262</v>
      </c>
    </row>
    <row r="614" spans="1:43" s="3" customFormat="1" ht="12">
      <c r="A614" s="37" t="s">
        <v>37</v>
      </c>
      <c r="B614" s="14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>
        <v>30.312999999999999</v>
      </c>
      <c r="U614" s="6"/>
      <c r="V614" s="6"/>
      <c r="W614" s="6"/>
      <c r="X614" s="6">
        <v>30.312999999999999</v>
      </c>
      <c r="Y614" s="6"/>
      <c r="Z614" s="6">
        <v>30.312999999999999</v>
      </c>
      <c r="AA614" s="6"/>
      <c r="AB614" s="6">
        <v>30.312999999999999</v>
      </c>
      <c r="AC614" s="6"/>
      <c r="AD614" s="6">
        <v>30.312999999999999</v>
      </c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>
        <v>0</v>
      </c>
      <c r="AP614" s="6"/>
      <c r="AQ614" s="6">
        <v>30.312999999999999</v>
      </c>
    </row>
    <row r="615" spans="1:43" s="3" customFormat="1" ht="12">
      <c r="A615" s="37" t="s">
        <v>23</v>
      </c>
      <c r="B615" s="14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>
        <v>31.135999999999999</v>
      </c>
      <c r="U615" s="6"/>
      <c r="V615" s="6"/>
      <c r="W615" s="6"/>
      <c r="X615" s="6">
        <v>31.135999999999999</v>
      </c>
      <c r="Y615" s="6"/>
      <c r="Z615" s="6">
        <v>31.135999999999999</v>
      </c>
      <c r="AA615" s="6"/>
      <c r="AB615" s="6">
        <v>31.135999999999999</v>
      </c>
      <c r="AC615" s="6"/>
      <c r="AD615" s="6">
        <v>31.135999999999999</v>
      </c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>
        <v>0</v>
      </c>
      <c r="AP615" s="6"/>
      <c r="AQ615" s="6">
        <v>31.135999999999999</v>
      </c>
    </row>
    <row r="616" spans="1:43" s="3" customFormat="1" ht="12">
      <c r="A616" s="37" t="s">
        <v>38</v>
      </c>
      <c r="B616" s="14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>
        <v>159.68600000000001</v>
      </c>
      <c r="U616" s="6"/>
      <c r="V616" s="6"/>
      <c r="W616" s="6"/>
      <c r="X616" s="6">
        <v>159.68600000000001</v>
      </c>
      <c r="Y616" s="6"/>
      <c r="Z616" s="6">
        <v>159.68600000000001</v>
      </c>
      <c r="AA616" s="6"/>
      <c r="AB616" s="6">
        <v>159.68600000000001</v>
      </c>
      <c r="AC616" s="6"/>
      <c r="AD616" s="6">
        <v>159.68600000000001</v>
      </c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>
        <v>0</v>
      </c>
      <c r="AP616" s="6"/>
      <c r="AQ616" s="6">
        <v>159.68600000000001</v>
      </c>
    </row>
    <row r="617" spans="1:43" s="3" customFormat="1" ht="12">
      <c r="A617" s="37" t="s">
        <v>45</v>
      </c>
      <c r="B617" s="14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>
        <v>43.825000000000003</v>
      </c>
      <c r="U617" s="6"/>
      <c r="V617" s="6"/>
      <c r="W617" s="6"/>
      <c r="X617" s="6">
        <v>43.825000000000003</v>
      </c>
      <c r="Y617" s="6"/>
      <c r="Z617" s="6">
        <v>43.825000000000003</v>
      </c>
      <c r="AA617" s="6"/>
      <c r="AB617" s="6">
        <v>43.825000000000003</v>
      </c>
      <c r="AC617" s="6"/>
      <c r="AD617" s="6">
        <v>43.825000000000003</v>
      </c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>
        <v>0</v>
      </c>
      <c r="AP617" s="6"/>
      <c r="AQ617" s="6">
        <v>43.825000000000003</v>
      </c>
    </row>
    <row r="618" spans="1:43" s="3" customFormat="1" ht="12">
      <c r="A618" s="37" t="s">
        <v>46</v>
      </c>
      <c r="B618" s="14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>
        <v>37.853000000000002</v>
      </c>
      <c r="U618" s="6"/>
      <c r="V618" s="6"/>
      <c r="W618" s="6"/>
      <c r="X618" s="6">
        <v>37.853000000000002</v>
      </c>
      <c r="Y618" s="6"/>
      <c r="Z618" s="6">
        <v>37.853000000000002</v>
      </c>
      <c r="AA618" s="6"/>
      <c r="AB618" s="6">
        <v>37.853000000000002</v>
      </c>
      <c r="AC618" s="6"/>
      <c r="AD618" s="6">
        <v>37.853000000000002</v>
      </c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>
        <v>0</v>
      </c>
      <c r="AP618" s="6"/>
      <c r="AQ618" s="6">
        <v>37.853000000000002</v>
      </c>
    </row>
    <row r="619" spans="1:43" s="3" customFormat="1" ht="12">
      <c r="A619" s="37" t="s">
        <v>24</v>
      </c>
      <c r="B619" s="14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>
        <v>53.161000000000001</v>
      </c>
      <c r="U619" s="6"/>
      <c r="V619" s="6"/>
      <c r="W619" s="6"/>
      <c r="X619" s="6">
        <v>53.161000000000001</v>
      </c>
      <c r="Y619" s="6"/>
      <c r="Z619" s="6">
        <v>53.161000000000001</v>
      </c>
      <c r="AA619" s="6"/>
      <c r="AB619" s="6">
        <v>53.161000000000001</v>
      </c>
      <c r="AC619" s="6"/>
      <c r="AD619" s="6">
        <v>53.161000000000001</v>
      </c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>
        <v>0</v>
      </c>
      <c r="AP619" s="6"/>
      <c r="AQ619" s="6">
        <v>53.161000000000001</v>
      </c>
    </row>
    <row r="620" spans="1:43" s="3" customFormat="1" ht="12">
      <c r="A620" s="37" t="s">
        <v>47</v>
      </c>
      <c r="B620" s="14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>
        <v>43.173999999999999</v>
      </c>
      <c r="U620" s="6"/>
      <c r="V620" s="6"/>
      <c r="W620" s="6"/>
      <c r="X620" s="6">
        <v>43.173999999999999</v>
      </c>
      <c r="Y620" s="6"/>
      <c r="Z620" s="6">
        <v>43.173999999999999</v>
      </c>
      <c r="AA620" s="6"/>
      <c r="AB620" s="6">
        <v>43.173999999999999</v>
      </c>
      <c r="AC620" s="6"/>
      <c r="AD620" s="6">
        <v>43.173999999999999</v>
      </c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>
        <v>0</v>
      </c>
      <c r="AP620" s="6"/>
      <c r="AQ620" s="6">
        <v>43.173999999999999</v>
      </c>
    </row>
    <row r="621" spans="1:43" s="3" customFormat="1" ht="12">
      <c r="A621" s="37" t="s">
        <v>40</v>
      </c>
      <c r="B621" s="14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>
        <v>45.244</v>
      </c>
      <c r="U621" s="6"/>
      <c r="V621" s="6"/>
      <c r="W621" s="6"/>
      <c r="X621" s="6">
        <v>45.244</v>
      </c>
      <c r="Y621" s="6"/>
      <c r="Z621" s="6">
        <v>45.244</v>
      </c>
      <c r="AA621" s="6"/>
      <c r="AB621" s="6">
        <v>45.244</v>
      </c>
      <c r="AC621" s="6"/>
      <c r="AD621" s="6">
        <v>45.244</v>
      </c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>
        <v>0</v>
      </c>
      <c r="AP621" s="6"/>
      <c r="AQ621" s="6">
        <v>45.244</v>
      </c>
    </row>
    <row r="622" spans="1:43" s="3" customFormat="1" ht="12">
      <c r="A622" s="37" t="s">
        <v>48</v>
      </c>
      <c r="B622" s="14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>
        <v>31.658999999999999</v>
      </c>
      <c r="U622" s="6"/>
      <c r="V622" s="6"/>
      <c r="W622" s="6"/>
      <c r="X622" s="6">
        <v>31.658999999999999</v>
      </c>
      <c r="Y622" s="6"/>
      <c r="Z622" s="6">
        <v>31.658999999999999</v>
      </c>
      <c r="AA622" s="6"/>
      <c r="AB622" s="6">
        <v>31.658999999999999</v>
      </c>
      <c r="AC622" s="6"/>
      <c r="AD622" s="6">
        <v>31.658999999999999</v>
      </c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>
        <v>0</v>
      </c>
      <c r="AP622" s="6"/>
      <c r="AQ622" s="6">
        <v>31.658999999999999</v>
      </c>
    </row>
    <row r="623" spans="1:43" s="3" customFormat="1" ht="12">
      <c r="A623" s="37" t="s">
        <v>41</v>
      </c>
      <c r="B623" s="14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>
        <v>29.048999999999999</v>
      </c>
      <c r="U623" s="6"/>
      <c r="V623" s="6"/>
      <c r="W623" s="6"/>
      <c r="X623" s="6">
        <v>29.048999999999999</v>
      </c>
      <c r="Y623" s="6"/>
      <c r="Z623" s="6">
        <v>29.048999999999999</v>
      </c>
      <c r="AA623" s="6"/>
      <c r="AB623" s="6">
        <v>29.048999999999999</v>
      </c>
      <c r="AC623" s="6"/>
      <c r="AD623" s="6">
        <v>29.048999999999999</v>
      </c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>
        <v>0</v>
      </c>
      <c r="AP623" s="6"/>
      <c r="AQ623" s="6">
        <v>29.048999999999999</v>
      </c>
    </row>
    <row r="624" spans="1:43" s="3" customFormat="1" ht="12">
      <c r="A624" s="37" t="s">
        <v>49</v>
      </c>
      <c r="B624" s="14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>
        <v>26.623999999999999</v>
      </c>
      <c r="U624" s="6"/>
      <c r="V624" s="6"/>
      <c r="W624" s="6"/>
      <c r="X624" s="6">
        <v>26.623999999999999</v>
      </c>
      <c r="Y624" s="6"/>
      <c r="Z624" s="6">
        <v>26.623999999999999</v>
      </c>
      <c r="AA624" s="6"/>
      <c r="AB624" s="6">
        <v>26.623999999999999</v>
      </c>
      <c r="AC624" s="6"/>
      <c r="AD624" s="6">
        <v>26.623999999999999</v>
      </c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>
        <v>0</v>
      </c>
      <c r="AP624" s="6"/>
      <c r="AQ624" s="6">
        <v>26.623999999999999</v>
      </c>
    </row>
    <row r="625" spans="1:43" s="3" customFormat="1" ht="12">
      <c r="A625" s="37" t="s">
        <v>50</v>
      </c>
      <c r="B625" s="14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>
        <v>31.882999999999999</v>
      </c>
      <c r="U625" s="6"/>
      <c r="V625" s="6"/>
      <c r="W625" s="6"/>
      <c r="X625" s="6">
        <v>31.882999999999999</v>
      </c>
      <c r="Y625" s="6"/>
      <c r="Z625" s="6">
        <v>31.882999999999999</v>
      </c>
      <c r="AA625" s="6"/>
      <c r="AB625" s="6">
        <v>31.882999999999999</v>
      </c>
      <c r="AC625" s="6"/>
      <c r="AD625" s="6">
        <v>31.882999999999999</v>
      </c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>
        <v>0</v>
      </c>
      <c r="AP625" s="6"/>
      <c r="AQ625" s="6">
        <v>31.882999999999999</v>
      </c>
    </row>
    <row r="626" spans="1:43" s="3" customFormat="1" ht="12">
      <c r="A626" s="37" t="s">
        <v>25</v>
      </c>
      <c r="B626" s="14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>
        <v>29.838000000000001</v>
      </c>
      <c r="U626" s="6"/>
      <c r="V626" s="6"/>
      <c r="W626" s="6"/>
      <c r="X626" s="6">
        <v>29.838000000000001</v>
      </c>
      <c r="Y626" s="6"/>
      <c r="Z626" s="6">
        <v>29.838000000000001</v>
      </c>
      <c r="AA626" s="6"/>
      <c r="AB626" s="6">
        <v>29.838000000000001</v>
      </c>
      <c r="AC626" s="6"/>
      <c r="AD626" s="6">
        <v>29.838000000000001</v>
      </c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>
        <v>0</v>
      </c>
      <c r="AP626" s="6"/>
      <c r="AQ626" s="6">
        <v>29.838000000000001</v>
      </c>
    </row>
    <row r="627" spans="1:43" s="3" customFormat="1" ht="12">
      <c r="A627" s="37" t="s">
        <v>51</v>
      </c>
      <c r="B627" s="14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>
        <v>157.43299999999999</v>
      </c>
      <c r="U627" s="6"/>
      <c r="V627" s="6"/>
      <c r="W627" s="6"/>
      <c r="X627" s="6">
        <v>157.43299999999999</v>
      </c>
      <c r="Y627" s="6"/>
      <c r="Z627" s="6">
        <v>157.43299999999999</v>
      </c>
      <c r="AA627" s="6"/>
      <c r="AB627" s="6">
        <v>157.43299999999999</v>
      </c>
      <c r="AC627" s="6"/>
      <c r="AD627" s="6">
        <v>157.43299999999999</v>
      </c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>
        <v>0</v>
      </c>
      <c r="AP627" s="6"/>
      <c r="AQ627" s="6">
        <v>157.43299999999999</v>
      </c>
    </row>
    <row r="628" spans="1:43" s="3" customFormat="1" ht="12">
      <c r="A628" s="37" t="s">
        <v>52</v>
      </c>
      <c r="B628" s="14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>
        <v>99.491</v>
      </c>
      <c r="U628" s="6"/>
      <c r="V628" s="6"/>
      <c r="W628" s="6"/>
      <c r="X628" s="6">
        <v>99.491</v>
      </c>
      <c r="Y628" s="6"/>
      <c r="Z628" s="6">
        <v>99.491</v>
      </c>
      <c r="AA628" s="6"/>
      <c r="AB628" s="6">
        <v>99.491</v>
      </c>
      <c r="AC628" s="6"/>
      <c r="AD628" s="6">
        <v>99.491</v>
      </c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>
        <v>0</v>
      </c>
      <c r="AP628" s="6"/>
      <c r="AQ628" s="6">
        <v>99.491</v>
      </c>
    </row>
    <row r="629" spans="1:43" s="3" customFormat="1" ht="12">
      <c r="A629" s="37" t="s">
        <v>18</v>
      </c>
      <c r="B629" s="14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>
        <v>77.221000000000004</v>
      </c>
      <c r="U629" s="6"/>
      <c r="V629" s="6"/>
      <c r="W629" s="6"/>
      <c r="X629" s="6">
        <v>77.221000000000004</v>
      </c>
      <c r="Y629" s="6"/>
      <c r="Z629" s="6">
        <v>77.221000000000004</v>
      </c>
      <c r="AA629" s="6"/>
      <c r="AB629" s="6">
        <v>77.221000000000004</v>
      </c>
      <c r="AC629" s="6"/>
      <c r="AD629" s="6">
        <v>77.221000000000004</v>
      </c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>
        <v>0</v>
      </c>
      <c r="AP629" s="6"/>
      <c r="AQ629" s="6">
        <v>77.221000000000004</v>
      </c>
    </row>
    <row r="630" spans="1:43" s="3" customFormat="1" ht="12">
      <c r="A630" s="37" t="s">
        <v>53</v>
      </c>
      <c r="B630" s="14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>
        <v>63.619</v>
      </c>
      <c r="U630" s="6"/>
      <c r="V630" s="6"/>
      <c r="W630" s="6"/>
      <c r="X630" s="6">
        <v>63.619</v>
      </c>
      <c r="Y630" s="6"/>
      <c r="Z630" s="6">
        <v>63.619</v>
      </c>
      <c r="AA630" s="6"/>
      <c r="AB630" s="6">
        <v>63.619</v>
      </c>
      <c r="AC630" s="6"/>
      <c r="AD630" s="6">
        <v>63.619</v>
      </c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>
        <v>0</v>
      </c>
      <c r="AP630" s="6"/>
      <c r="AQ630" s="6">
        <v>63.619</v>
      </c>
    </row>
    <row r="631" spans="1:43" s="3" customFormat="1" ht="12">
      <c r="A631" s="37" t="s">
        <v>54</v>
      </c>
      <c r="B631" s="14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>
        <v>28.858000000000001</v>
      </c>
      <c r="U631" s="6"/>
      <c r="V631" s="6"/>
      <c r="W631" s="6"/>
      <c r="X631" s="6">
        <v>28.858000000000001</v>
      </c>
      <c r="Y631" s="6"/>
      <c r="Z631" s="6">
        <v>28.858000000000001</v>
      </c>
      <c r="AA631" s="6"/>
      <c r="AB631" s="6">
        <v>28.858000000000001</v>
      </c>
      <c r="AC631" s="6"/>
      <c r="AD631" s="6">
        <v>28.858000000000001</v>
      </c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>
        <v>0</v>
      </c>
      <c r="AP631" s="6"/>
      <c r="AQ631" s="6">
        <v>28.858000000000001</v>
      </c>
    </row>
    <row r="632" spans="1:43" s="3" customFormat="1" ht="12">
      <c r="A632" s="37" t="s">
        <v>55</v>
      </c>
      <c r="B632" s="14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>
        <v>28.006</v>
      </c>
      <c r="U632" s="6"/>
      <c r="V632" s="6"/>
      <c r="W632" s="6"/>
      <c r="X632" s="6">
        <v>28.006</v>
      </c>
      <c r="Y632" s="6"/>
      <c r="Z632" s="6">
        <v>28.006</v>
      </c>
      <c r="AA632" s="6"/>
      <c r="AB632" s="6">
        <v>28.006</v>
      </c>
      <c r="AC632" s="6"/>
      <c r="AD632" s="6">
        <v>28.006</v>
      </c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>
        <v>0</v>
      </c>
      <c r="AP632" s="6"/>
      <c r="AQ632" s="6">
        <v>28.006</v>
      </c>
    </row>
    <row r="633" spans="1:43" s="3" customFormat="1" ht="12">
      <c r="A633" s="37" t="s">
        <v>56</v>
      </c>
      <c r="B633" s="14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>
        <v>28.594000000000001</v>
      </c>
      <c r="U633" s="6"/>
      <c r="V633" s="6"/>
      <c r="W633" s="6"/>
      <c r="X633" s="6">
        <v>28.594000000000001</v>
      </c>
      <c r="Y633" s="6"/>
      <c r="Z633" s="6">
        <v>28.594000000000001</v>
      </c>
      <c r="AA633" s="6"/>
      <c r="AB633" s="6">
        <v>28.594000000000001</v>
      </c>
      <c r="AC633" s="6"/>
      <c r="AD633" s="6">
        <v>28.594000000000001</v>
      </c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>
        <v>0</v>
      </c>
      <c r="AP633" s="6"/>
      <c r="AQ633" s="6">
        <v>28.594000000000001</v>
      </c>
    </row>
    <row r="634" spans="1:43" s="3" customFormat="1" ht="12">
      <c r="A634" s="37" t="s">
        <v>26</v>
      </c>
      <c r="B634" s="14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>
        <v>38.307000000000002</v>
      </c>
      <c r="U634" s="6"/>
      <c r="V634" s="6"/>
      <c r="W634" s="6"/>
      <c r="X634" s="6">
        <v>38.307000000000002</v>
      </c>
      <c r="Y634" s="6"/>
      <c r="Z634" s="6">
        <v>38.307000000000002</v>
      </c>
      <c r="AA634" s="6"/>
      <c r="AB634" s="6">
        <v>38.307000000000002</v>
      </c>
      <c r="AC634" s="6"/>
      <c r="AD634" s="6">
        <v>38.307000000000002</v>
      </c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>
        <v>0</v>
      </c>
      <c r="AP634" s="6"/>
      <c r="AQ634" s="6">
        <v>38.307000000000002</v>
      </c>
    </row>
    <row r="635" spans="1:43" s="3" customFormat="1" ht="12">
      <c r="A635" s="37" t="s">
        <v>27</v>
      </c>
      <c r="B635" s="14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>
        <v>31.366</v>
      </c>
      <c r="U635" s="6"/>
      <c r="V635" s="6"/>
      <c r="W635" s="6"/>
      <c r="X635" s="6">
        <v>31.366</v>
      </c>
      <c r="Y635" s="6"/>
      <c r="Z635" s="6">
        <v>31.366</v>
      </c>
      <c r="AA635" s="6"/>
      <c r="AB635" s="6">
        <v>31.366</v>
      </c>
      <c r="AC635" s="6"/>
      <c r="AD635" s="6">
        <v>31.366</v>
      </c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>
        <v>0</v>
      </c>
      <c r="AP635" s="6"/>
      <c r="AQ635" s="6">
        <v>31.366</v>
      </c>
    </row>
    <row r="636" spans="1:43" s="3" customFormat="1" ht="12">
      <c r="A636" s="37" t="s">
        <v>57</v>
      </c>
      <c r="B636" s="14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>
        <v>29.109000000000002</v>
      </c>
      <c r="U636" s="6"/>
      <c r="V636" s="6"/>
      <c r="W636" s="6"/>
      <c r="X636" s="6">
        <v>29.109000000000002</v>
      </c>
      <c r="Y636" s="6"/>
      <c r="Z636" s="6">
        <v>29.109000000000002</v>
      </c>
      <c r="AA636" s="6"/>
      <c r="AB636" s="6">
        <v>29.109000000000002</v>
      </c>
      <c r="AC636" s="6"/>
      <c r="AD636" s="6">
        <v>29.109000000000002</v>
      </c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>
        <v>0</v>
      </c>
      <c r="AP636" s="6"/>
      <c r="AQ636" s="6">
        <v>29.109000000000002</v>
      </c>
    </row>
    <row r="637" spans="1:43" s="3" customFormat="1" ht="12">
      <c r="A637" s="37" t="s">
        <v>29</v>
      </c>
      <c r="B637" s="14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>
        <v>28.841999999999999</v>
      </c>
      <c r="U637" s="6"/>
      <c r="V637" s="6"/>
      <c r="W637" s="6"/>
      <c r="X637" s="6">
        <v>28.841999999999999</v>
      </c>
      <c r="Y637" s="6"/>
      <c r="Z637" s="6">
        <v>28.841999999999999</v>
      </c>
      <c r="AA637" s="6"/>
      <c r="AB637" s="6">
        <v>28.841999999999999</v>
      </c>
      <c r="AC637" s="6"/>
      <c r="AD637" s="6">
        <v>28.841999999999999</v>
      </c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>
        <v>0</v>
      </c>
      <c r="AP637" s="6"/>
      <c r="AQ637" s="6">
        <v>28.841999999999999</v>
      </c>
    </row>
    <row r="638" spans="1:43" ht="12">
      <c r="A638" s="39" t="s">
        <v>111</v>
      </c>
      <c r="B638" s="33" t="s">
        <v>154</v>
      </c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>
        <f>91.6+105.5+105.5</f>
        <v>302.60000000000002</v>
      </c>
      <c r="S638" s="30"/>
      <c r="T638" s="44">
        <f>SUM(T639:T667)</f>
        <v>415.16699999999992</v>
      </c>
      <c r="U638" s="30"/>
      <c r="V638" s="30"/>
      <c r="W638" s="30"/>
      <c r="X638" s="44">
        <f>SUM(X639:X667)</f>
        <v>415.16699999999992</v>
      </c>
      <c r="Y638" s="30"/>
      <c r="Z638" s="44">
        <f>SUM(Z639:Z667)</f>
        <v>415.16699999999992</v>
      </c>
      <c r="AA638" s="30"/>
      <c r="AB638" s="44">
        <f>SUM(AB639:AB667)</f>
        <v>415.16699999999992</v>
      </c>
      <c r="AC638" s="30"/>
      <c r="AD638" s="44">
        <f>SUM(AD639:AD667)</f>
        <v>415.16699999999992</v>
      </c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>
        <f>SUM(AO639:AO667)</f>
        <v>614.10000000000014</v>
      </c>
      <c r="AP638" s="30"/>
      <c r="AQ638" s="44">
        <f>SUM(AQ639:AQ667)</f>
        <v>761.01200000000017</v>
      </c>
    </row>
    <row r="639" spans="1:43" ht="12">
      <c r="A639" s="37" t="s">
        <v>21</v>
      </c>
      <c r="B639" s="14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>
        <v>9.2279999999999998</v>
      </c>
      <c r="S639" s="6"/>
      <c r="T639" s="6">
        <v>12.661</v>
      </c>
      <c r="U639" s="6"/>
      <c r="V639" s="6"/>
      <c r="W639" s="6"/>
      <c r="X639" s="6">
        <v>12.661</v>
      </c>
      <c r="Y639" s="6"/>
      <c r="Z639" s="6">
        <v>12.661</v>
      </c>
      <c r="AA639" s="6"/>
      <c r="AB639" s="6">
        <v>12.661</v>
      </c>
      <c r="AC639" s="6"/>
      <c r="AD639" s="6">
        <v>12.661</v>
      </c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>
        <v>18.725999999999999</v>
      </c>
      <c r="AP639" s="6"/>
      <c r="AQ639" s="6">
        <v>23.207999999999998</v>
      </c>
    </row>
    <row r="640" spans="1:43" ht="12">
      <c r="A640" s="37" t="s">
        <v>43</v>
      </c>
      <c r="B640" s="14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>
        <v>8.6739999999999995</v>
      </c>
      <c r="S640" s="6"/>
      <c r="T640" s="6">
        <v>11.901</v>
      </c>
      <c r="U640" s="6"/>
      <c r="V640" s="6"/>
      <c r="W640" s="6"/>
      <c r="X640" s="6">
        <v>11.901</v>
      </c>
      <c r="Y640" s="6"/>
      <c r="Z640" s="6">
        <v>11.901</v>
      </c>
      <c r="AA640" s="6"/>
      <c r="AB640" s="6">
        <v>11.901</v>
      </c>
      <c r="AC640" s="6"/>
      <c r="AD640" s="6">
        <v>11.901</v>
      </c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>
        <v>17.603000000000002</v>
      </c>
      <c r="AP640" s="6"/>
      <c r="AQ640" s="6">
        <v>21.815000000000001</v>
      </c>
    </row>
    <row r="641" spans="1:43" ht="12">
      <c r="A641" s="37" t="s">
        <v>22</v>
      </c>
      <c r="B641" s="14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>
        <v>6.06</v>
      </c>
      <c r="S641" s="6"/>
      <c r="T641" s="6">
        <v>8.3149999999999995</v>
      </c>
      <c r="U641" s="6"/>
      <c r="V641" s="6"/>
      <c r="W641" s="6"/>
      <c r="X641" s="6">
        <v>8.3149999999999995</v>
      </c>
      <c r="Y641" s="6"/>
      <c r="Z641" s="6">
        <v>8.3149999999999995</v>
      </c>
      <c r="AA641" s="6"/>
      <c r="AB641" s="6">
        <v>8.3149999999999995</v>
      </c>
      <c r="AC641" s="6"/>
      <c r="AD641" s="6">
        <v>8.3149999999999995</v>
      </c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>
        <v>12.298999999999999</v>
      </c>
      <c r="AP641" s="6"/>
      <c r="AQ641" s="6">
        <v>15.241</v>
      </c>
    </row>
    <row r="642" spans="1:43" ht="12">
      <c r="A642" s="37" t="s">
        <v>44</v>
      </c>
      <c r="B642" s="14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>
        <v>11.010999999999999</v>
      </c>
      <c r="S642" s="6"/>
      <c r="T642" s="6">
        <v>15.106999999999999</v>
      </c>
      <c r="U642" s="6"/>
      <c r="V642" s="6"/>
      <c r="W642" s="6"/>
      <c r="X642" s="6">
        <v>15.106999999999999</v>
      </c>
      <c r="Y642" s="6"/>
      <c r="Z642" s="6">
        <v>15.106999999999999</v>
      </c>
      <c r="AA642" s="6"/>
      <c r="AB642" s="6">
        <v>15.106999999999999</v>
      </c>
      <c r="AC642" s="6"/>
      <c r="AD642" s="6">
        <v>15.106999999999999</v>
      </c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>
        <v>22.344999999999999</v>
      </c>
      <c r="AP642" s="6"/>
      <c r="AQ642" s="6">
        <v>27.690999999999999</v>
      </c>
    </row>
    <row r="643" spans="1:43" ht="12">
      <c r="A643" s="37" t="s">
        <v>36</v>
      </c>
      <c r="B643" s="14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>
        <v>29.512</v>
      </c>
      <c r="S643" s="6"/>
      <c r="T643" s="6">
        <v>40.491</v>
      </c>
      <c r="U643" s="6"/>
      <c r="V643" s="6"/>
      <c r="W643" s="6"/>
      <c r="X643" s="6">
        <v>40.491</v>
      </c>
      <c r="Y643" s="6"/>
      <c r="Z643" s="6">
        <v>40.491</v>
      </c>
      <c r="AA643" s="6"/>
      <c r="AB643" s="6">
        <v>40.491</v>
      </c>
      <c r="AC643" s="6"/>
      <c r="AD643" s="6">
        <v>40.491</v>
      </c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>
        <v>59.893000000000001</v>
      </c>
      <c r="AP643" s="6"/>
      <c r="AQ643" s="6">
        <v>74.221000000000004</v>
      </c>
    </row>
    <row r="644" spans="1:43" ht="12">
      <c r="A644" s="37" t="s">
        <v>37</v>
      </c>
      <c r="B644" s="14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>
        <v>5.9939999999999998</v>
      </c>
      <c r="S644" s="6"/>
      <c r="T644" s="6">
        <v>8.2230000000000008</v>
      </c>
      <c r="U644" s="6"/>
      <c r="V644" s="6"/>
      <c r="W644" s="6"/>
      <c r="X644" s="6">
        <v>8.2230000000000008</v>
      </c>
      <c r="Y644" s="6"/>
      <c r="Z644" s="6">
        <v>8.2230000000000008</v>
      </c>
      <c r="AA644" s="6"/>
      <c r="AB644" s="6">
        <v>8.2230000000000008</v>
      </c>
      <c r="AC644" s="6"/>
      <c r="AD644" s="6">
        <v>8.2230000000000008</v>
      </c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>
        <v>12.164</v>
      </c>
      <c r="AP644" s="6"/>
      <c r="AQ644" s="6">
        <v>15.073</v>
      </c>
    </row>
    <row r="645" spans="1:43" ht="12">
      <c r="A645" s="37" t="s">
        <v>23</v>
      </c>
      <c r="B645" s="14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>
        <v>6.1559999999999997</v>
      </c>
      <c r="S645" s="6"/>
      <c r="T645" s="6">
        <v>8.4469999999999992</v>
      </c>
      <c r="U645" s="6"/>
      <c r="V645" s="6"/>
      <c r="W645" s="6"/>
      <c r="X645" s="6">
        <v>8.4469999999999992</v>
      </c>
      <c r="Y645" s="6"/>
      <c r="Z645" s="6">
        <v>8.4469999999999992</v>
      </c>
      <c r="AA645" s="6"/>
      <c r="AB645" s="6">
        <v>8.4469999999999992</v>
      </c>
      <c r="AC645" s="6"/>
      <c r="AD645" s="6">
        <v>8.4469999999999992</v>
      </c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>
        <v>12.494</v>
      </c>
      <c r="AP645" s="6"/>
      <c r="AQ645" s="6">
        <v>15.483000000000001</v>
      </c>
    </row>
    <row r="646" spans="1:43" ht="12">
      <c r="A646" s="37" t="s">
        <v>38</v>
      </c>
      <c r="B646" s="14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>
        <v>31.573</v>
      </c>
      <c r="S646" s="6"/>
      <c r="T646" s="6">
        <v>43.319000000000003</v>
      </c>
      <c r="U646" s="6"/>
      <c r="V646" s="6"/>
      <c r="W646" s="6"/>
      <c r="X646" s="6">
        <v>43.319000000000003</v>
      </c>
      <c r="Y646" s="6"/>
      <c r="Z646" s="6">
        <v>43.319000000000003</v>
      </c>
      <c r="AA646" s="6"/>
      <c r="AB646" s="6">
        <v>43.319000000000003</v>
      </c>
      <c r="AC646" s="6"/>
      <c r="AD646" s="6">
        <v>43.319000000000003</v>
      </c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>
        <v>64.075000000000003</v>
      </c>
      <c r="AP646" s="6"/>
      <c r="AQ646" s="6">
        <v>79.403999999999996</v>
      </c>
    </row>
    <row r="647" spans="1:43" ht="12">
      <c r="A647" s="37" t="s">
        <v>45</v>
      </c>
      <c r="B647" s="14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>
        <v>8.6649999999999991</v>
      </c>
      <c r="S647" s="6"/>
      <c r="T647" s="6">
        <v>11.888999999999999</v>
      </c>
      <c r="U647" s="6"/>
      <c r="V647" s="6"/>
      <c r="W647" s="6"/>
      <c r="X647" s="6">
        <v>11.888999999999999</v>
      </c>
      <c r="Y647" s="6"/>
      <c r="Z647" s="6">
        <v>11.888999999999999</v>
      </c>
      <c r="AA647" s="6"/>
      <c r="AB647" s="6">
        <v>11.888999999999999</v>
      </c>
      <c r="AC647" s="6"/>
      <c r="AD647" s="6">
        <v>11.888999999999999</v>
      </c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>
        <v>17.585000000000001</v>
      </c>
      <c r="AP647" s="6"/>
      <c r="AQ647" s="6">
        <v>21.792000000000002</v>
      </c>
    </row>
    <row r="648" spans="1:43" ht="12">
      <c r="A648" s="37" t="s">
        <v>46</v>
      </c>
      <c r="B648" s="14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>
        <v>7.484</v>
      </c>
      <c r="S648" s="6"/>
      <c r="T648" s="6">
        <v>10.269</v>
      </c>
      <c r="U648" s="6"/>
      <c r="V648" s="6"/>
      <c r="W648" s="6"/>
      <c r="X648" s="6">
        <v>10.269</v>
      </c>
      <c r="Y648" s="6"/>
      <c r="Z648" s="6">
        <v>10.269</v>
      </c>
      <c r="AA648" s="6"/>
      <c r="AB648" s="6">
        <v>10.269</v>
      </c>
      <c r="AC648" s="6"/>
      <c r="AD648" s="6">
        <v>10.269</v>
      </c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>
        <v>15.189</v>
      </c>
      <c r="AP648" s="6"/>
      <c r="AQ648" s="6">
        <v>18.821999999999999</v>
      </c>
    </row>
    <row r="649" spans="1:43" ht="12">
      <c r="A649" s="37" t="s">
        <v>24</v>
      </c>
      <c r="B649" s="14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>
        <v>10.510999999999999</v>
      </c>
      <c r="S649" s="6"/>
      <c r="T649" s="6">
        <v>14.420999999999999</v>
      </c>
      <c r="U649" s="6"/>
      <c r="V649" s="6"/>
      <c r="W649" s="6"/>
      <c r="X649" s="6">
        <v>14.420999999999999</v>
      </c>
      <c r="Y649" s="6"/>
      <c r="Z649" s="6">
        <v>14.420999999999999</v>
      </c>
      <c r="AA649" s="6"/>
      <c r="AB649" s="6">
        <v>14.420999999999999</v>
      </c>
      <c r="AC649" s="6"/>
      <c r="AD649" s="6">
        <v>14.420999999999999</v>
      </c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>
        <v>21.331</v>
      </c>
      <c r="AP649" s="6"/>
      <c r="AQ649" s="6">
        <v>26.434000000000001</v>
      </c>
    </row>
    <row r="650" spans="1:43" ht="12">
      <c r="A650" s="37" t="s">
        <v>47</v>
      </c>
      <c r="B650" s="14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>
        <v>8.5359999999999996</v>
      </c>
      <c r="S650" s="6"/>
      <c r="T650" s="6">
        <v>11.712</v>
      </c>
      <c r="U650" s="6"/>
      <c r="V650" s="6"/>
      <c r="W650" s="6"/>
      <c r="X650" s="6">
        <v>11.712</v>
      </c>
      <c r="Y650" s="6"/>
      <c r="Z650" s="6">
        <v>11.712</v>
      </c>
      <c r="AA650" s="6"/>
      <c r="AB650" s="6">
        <v>11.712</v>
      </c>
      <c r="AC650" s="6"/>
      <c r="AD650" s="6">
        <v>11.712</v>
      </c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>
        <v>17.324000000000002</v>
      </c>
      <c r="AP650" s="6"/>
      <c r="AQ650" s="6">
        <v>21.468</v>
      </c>
    </row>
    <row r="651" spans="1:43" ht="12">
      <c r="A651" s="37" t="s">
        <v>40</v>
      </c>
      <c r="B651" s="14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>
        <v>8.9459999999999997</v>
      </c>
      <c r="S651" s="6"/>
      <c r="T651" s="6">
        <v>12.273</v>
      </c>
      <c r="U651" s="6"/>
      <c r="V651" s="6"/>
      <c r="W651" s="6"/>
      <c r="X651" s="6">
        <v>12.273</v>
      </c>
      <c r="Y651" s="6"/>
      <c r="Z651" s="6">
        <v>12.273</v>
      </c>
      <c r="AA651" s="6"/>
      <c r="AB651" s="6">
        <v>12.273</v>
      </c>
      <c r="AC651" s="6"/>
      <c r="AD651" s="6">
        <v>12.273</v>
      </c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>
        <v>18.154</v>
      </c>
      <c r="AP651" s="6"/>
      <c r="AQ651" s="6">
        <v>22.497</v>
      </c>
    </row>
    <row r="652" spans="1:43" ht="12">
      <c r="A652" s="37" t="s">
        <v>48</v>
      </c>
      <c r="B652" s="14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>
        <v>6.26</v>
      </c>
      <c r="S652" s="6"/>
      <c r="T652" s="6">
        <v>8.5879999999999992</v>
      </c>
      <c r="U652" s="6"/>
      <c r="V652" s="6"/>
      <c r="W652" s="6"/>
      <c r="X652" s="6">
        <v>8.5879999999999992</v>
      </c>
      <c r="Y652" s="6"/>
      <c r="Z652" s="6">
        <v>8.5879999999999992</v>
      </c>
      <c r="AA652" s="6"/>
      <c r="AB652" s="6">
        <v>8.5879999999999992</v>
      </c>
      <c r="AC652" s="6"/>
      <c r="AD652" s="6">
        <v>8.5879999999999992</v>
      </c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>
        <v>12.704000000000001</v>
      </c>
      <c r="AP652" s="6"/>
      <c r="AQ652" s="6">
        <v>15.743</v>
      </c>
    </row>
    <row r="653" spans="1:43" ht="12">
      <c r="A653" s="37" t="s">
        <v>41</v>
      </c>
      <c r="B653" s="14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>
        <v>5.7439999999999998</v>
      </c>
      <c r="S653" s="6"/>
      <c r="T653" s="6">
        <v>7.88</v>
      </c>
      <c r="U653" s="6"/>
      <c r="V653" s="6"/>
      <c r="W653" s="6"/>
      <c r="X653" s="6">
        <v>7.88</v>
      </c>
      <c r="Y653" s="6"/>
      <c r="Z653" s="6">
        <v>7.88</v>
      </c>
      <c r="AA653" s="6"/>
      <c r="AB653" s="6">
        <v>7.88</v>
      </c>
      <c r="AC653" s="6"/>
      <c r="AD653" s="6">
        <v>7.88</v>
      </c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>
        <v>11.656000000000001</v>
      </c>
      <c r="AP653" s="6"/>
      <c r="AQ653" s="6">
        <v>14.445</v>
      </c>
    </row>
    <row r="654" spans="1:43" ht="12">
      <c r="A654" s="37" t="s">
        <v>49</v>
      </c>
      <c r="B654" s="14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>
        <v>5.2640000000000002</v>
      </c>
      <c r="S654" s="6"/>
      <c r="T654" s="6">
        <v>7.2220000000000004</v>
      </c>
      <c r="U654" s="6"/>
      <c r="V654" s="6"/>
      <c r="W654" s="6"/>
      <c r="X654" s="6">
        <v>7.2220000000000004</v>
      </c>
      <c r="Y654" s="6"/>
      <c r="Z654" s="6">
        <v>7.2220000000000004</v>
      </c>
      <c r="AA654" s="6"/>
      <c r="AB654" s="6">
        <v>7.2220000000000004</v>
      </c>
      <c r="AC654" s="6"/>
      <c r="AD654" s="6">
        <v>7.2220000000000004</v>
      </c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>
        <v>10.683</v>
      </c>
      <c r="AP654" s="6"/>
      <c r="AQ654" s="6">
        <v>13.239000000000001</v>
      </c>
    </row>
    <row r="655" spans="1:43" ht="12">
      <c r="A655" s="37" t="s">
        <v>50</v>
      </c>
      <c r="B655" s="14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>
        <v>6.3040000000000003</v>
      </c>
      <c r="S655" s="6"/>
      <c r="T655" s="6">
        <v>8.6489999999999991</v>
      </c>
      <c r="U655" s="6"/>
      <c r="V655" s="6"/>
      <c r="W655" s="6"/>
      <c r="X655" s="6">
        <v>8.6489999999999991</v>
      </c>
      <c r="Y655" s="6"/>
      <c r="Z655" s="6">
        <v>8.6489999999999991</v>
      </c>
      <c r="AA655" s="6"/>
      <c r="AB655" s="6">
        <v>8.6489999999999991</v>
      </c>
      <c r="AC655" s="6"/>
      <c r="AD655" s="6">
        <v>8.6489999999999991</v>
      </c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>
        <v>12.792999999999999</v>
      </c>
      <c r="AP655" s="6"/>
      <c r="AQ655" s="6">
        <v>15.853999999999999</v>
      </c>
    </row>
    <row r="656" spans="1:43" ht="12">
      <c r="A656" s="37" t="s">
        <v>25</v>
      </c>
      <c r="B656" s="14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>
        <v>5.9</v>
      </c>
      <c r="S656" s="6"/>
      <c r="T656" s="6">
        <v>8.0939999999999994</v>
      </c>
      <c r="U656" s="6"/>
      <c r="V656" s="6"/>
      <c r="W656" s="6"/>
      <c r="X656" s="6">
        <v>8.0939999999999994</v>
      </c>
      <c r="Y656" s="6"/>
      <c r="Z656" s="6">
        <v>8.0939999999999994</v>
      </c>
      <c r="AA656" s="6"/>
      <c r="AB656" s="6">
        <v>8.0939999999999994</v>
      </c>
      <c r="AC656" s="6"/>
      <c r="AD656" s="6">
        <v>8.0939999999999994</v>
      </c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>
        <v>11.973000000000001</v>
      </c>
      <c r="AP656" s="6"/>
      <c r="AQ656" s="6">
        <v>14.837</v>
      </c>
    </row>
    <row r="657" spans="1:43" ht="12">
      <c r="A657" s="37" t="s">
        <v>51</v>
      </c>
      <c r="B657" s="14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>
        <v>31.128</v>
      </c>
      <c r="S657" s="6"/>
      <c r="T657" s="6">
        <v>42.707999999999998</v>
      </c>
      <c r="U657" s="6"/>
      <c r="V657" s="6"/>
      <c r="W657" s="6"/>
      <c r="X657" s="6">
        <v>42.707999999999998</v>
      </c>
      <c r="Y657" s="6"/>
      <c r="Z657" s="6">
        <v>42.707999999999998</v>
      </c>
      <c r="AA657" s="6"/>
      <c r="AB657" s="6">
        <v>42.707999999999998</v>
      </c>
      <c r="AC657" s="6"/>
      <c r="AD657" s="6">
        <v>42.707999999999998</v>
      </c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>
        <v>63.170999999999999</v>
      </c>
      <c r="AP657" s="6"/>
      <c r="AQ657" s="6">
        <v>78.284000000000006</v>
      </c>
    </row>
    <row r="658" spans="1:43" ht="12">
      <c r="A658" s="37" t="s">
        <v>52</v>
      </c>
      <c r="B658" s="14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>
        <v>19.672000000000001</v>
      </c>
      <c r="S658" s="6"/>
      <c r="T658" s="6">
        <v>26.989000000000001</v>
      </c>
      <c r="U658" s="6"/>
      <c r="V658" s="6"/>
      <c r="W658" s="6"/>
      <c r="X658" s="6">
        <v>26.989000000000001</v>
      </c>
      <c r="Y658" s="6"/>
      <c r="Z658" s="6">
        <v>26.989000000000001</v>
      </c>
      <c r="AA658" s="6"/>
      <c r="AB658" s="6">
        <v>26.989000000000001</v>
      </c>
      <c r="AC658" s="6"/>
      <c r="AD658" s="6">
        <v>26.989000000000001</v>
      </c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>
        <v>39.921999999999997</v>
      </c>
      <c r="AP658" s="6"/>
      <c r="AQ658" s="6">
        <v>49.472000000000001</v>
      </c>
    </row>
    <row r="659" spans="1:43" ht="12">
      <c r="A659" s="37" t="s">
        <v>18</v>
      </c>
      <c r="B659" s="14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>
        <v>15.268000000000001</v>
      </c>
      <c r="S659" s="6"/>
      <c r="T659" s="6">
        <v>20.948</v>
      </c>
      <c r="U659" s="6"/>
      <c r="V659" s="6"/>
      <c r="W659" s="6"/>
      <c r="X659" s="6">
        <v>20.948</v>
      </c>
      <c r="Y659" s="6"/>
      <c r="Z659" s="6">
        <v>20.948</v>
      </c>
      <c r="AA659" s="6"/>
      <c r="AB659" s="6">
        <v>20.948</v>
      </c>
      <c r="AC659" s="6"/>
      <c r="AD659" s="6">
        <v>20.948</v>
      </c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>
        <v>30.986000000000001</v>
      </c>
      <c r="AP659" s="6"/>
      <c r="AQ659" s="6">
        <v>38.398000000000003</v>
      </c>
    </row>
    <row r="660" spans="1:43" ht="12">
      <c r="A660" s="37" t="s">
        <v>53</v>
      </c>
      <c r="B660" s="14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>
        <v>12.579000000000001</v>
      </c>
      <c r="S660" s="6"/>
      <c r="T660" s="6">
        <v>17.257999999999999</v>
      </c>
      <c r="U660" s="6"/>
      <c r="V660" s="6"/>
      <c r="W660" s="6"/>
      <c r="X660" s="6">
        <v>17.257999999999999</v>
      </c>
      <c r="Y660" s="6"/>
      <c r="Z660" s="6">
        <v>17.257999999999999</v>
      </c>
      <c r="AA660" s="6"/>
      <c r="AB660" s="6">
        <v>17.257999999999999</v>
      </c>
      <c r="AC660" s="6"/>
      <c r="AD660" s="6">
        <v>17.257999999999999</v>
      </c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>
        <v>25.527999999999999</v>
      </c>
      <c r="AP660" s="6"/>
      <c r="AQ660" s="6">
        <v>31.635000000000002</v>
      </c>
    </row>
    <row r="661" spans="1:43" ht="12">
      <c r="A661" s="37" t="s">
        <v>54</v>
      </c>
      <c r="B661" s="14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>
        <v>5.7060000000000004</v>
      </c>
      <c r="S661" s="6"/>
      <c r="T661" s="6">
        <v>7.8280000000000003</v>
      </c>
      <c r="U661" s="6"/>
      <c r="V661" s="6"/>
      <c r="W661" s="6"/>
      <c r="X661" s="6">
        <v>7.8280000000000003</v>
      </c>
      <c r="Y661" s="6"/>
      <c r="Z661" s="6">
        <v>7.8280000000000003</v>
      </c>
      <c r="AA661" s="6"/>
      <c r="AB661" s="6">
        <v>7.8280000000000003</v>
      </c>
      <c r="AC661" s="6"/>
      <c r="AD661" s="6">
        <v>7.8280000000000003</v>
      </c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>
        <v>11.58</v>
      </c>
      <c r="AP661" s="6"/>
      <c r="AQ661" s="6">
        <v>14.35</v>
      </c>
    </row>
    <row r="662" spans="1:43" ht="12">
      <c r="A662" s="37" t="s">
        <v>55</v>
      </c>
      <c r="B662" s="14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>
        <v>5.5369999999999999</v>
      </c>
      <c r="S662" s="6"/>
      <c r="T662" s="6">
        <v>7.5970000000000004</v>
      </c>
      <c r="U662" s="6"/>
      <c r="V662" s="6"/>
      <c r="W662" s="6"/>
      <c r="X662" s="6">
        <v>7.5970000000000004</v>
      </c>
      <c r="Y662" s="6"/>
      <c r="Z662" s="6">
        <v>7.5970000000000004</v>
      </c>
      <c r="AA662" s="6"/>
      <c r="AB662" s="6">
        <v>7.5970000000000004</v>
      </c>
      <c r="AC662" s="6"/>
      <c r="AD662" s="6">
        <v>7.5970000000000004</v>
      </c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>
        <v>11.238</v>
      </c>
      <c r="AP662" s="6"/>
      <c r="AQ662" s="6">
        <v>13.926</v>
      </c>
    </row>
    <row r="663" spans="1:43" ht="12">
      <c r="A663" s="37" t="s">
        <v>56</v>
      </c>
      <c r="B663" s="14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>
        <v>5.6539999999999999</v>
      </c>
      <c r="S663" s="6"/>
      <c r="T663" s="6">
        <v>7.7569999999999997</v>
      </c>
      <c r="U663" s="6"/>
      <c r="V663" s="6"/>
      <c r="W663" s="6"/>
      <c r="X663" s="6">
        <v>7.7569999999999997</v>
      </c>
      <c r="Y663" s="6"/>
      <c r="Z663" s="6">
        <v>7.7569999999999997</v>
      </c>
      <c r="AA663" s="6"/>
      <c r="AB663" s="6">
        <v>7.7569999999999997</v>
      </c>
      <c r="AC663" s="6"/>
      <c r="AD663" s="6">
        <v>7.7569999999999997</v>
      </c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>
        <v>11.474</v>
      </c>
      <c r="AP663" s="6"/>
      <c r="AQ663" s="6">
        <v>14.218999999999999</v>
      </c>
    </row>
    <row r="664" spans="1:43" ht="12">
      <c r="A664" s="37" t="s">
        <v>26</v>
      </c>
      <c r="B664" s="14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>
        <v>7.5739999999999998</v>
      </c>
      <c r="S664" s="6"/>
      <c r="T664" s="6">
        <v>10.391999999999999</v>
      </c>
      <c r="U664" s="6"/>
      <c r="V664" s="6"/>
      <c r="W664" s="6"/>
      <c r="X664" s="6">
        <v>10.391999999999999</v>
      </c>
      <c r="Y664" s="6"/>
      <c r="Z664" s="6">
        <v>10.391999999999999</v>
      </c>
      <c r="AA664" s="6"/>
      <c r="AB664" s="6">
        <v>10.391999999999999</v>
      </c>
      <c r="AC664" s="6"/>
      <c r="AD664" s="6">
        <v>10.391999999999999</v>
      </c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>
        <v>15.371</v>
      </c>
      <c r="AP664" s="6"/>
      <c r="AQ664" s="6">
        <v>19.047999999999998</v>
      </c>
    </row>
    <row r="665" spans="1:43" ht="12">
      <c r="A665" s="37" t="s">
        <v>27</v>
      </c>
      <c r="B665" s="14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>
        <v>6.202</v>
      </c>
      <c r="S665" s="6"/>
      <c r="T665" s="6">
        <v>8.5090000000000003</v>
      </c>
      <c r="U665" s="6"/>
      <c r="V665" s="6"/>
      <c r="W665" s="6"/>
      <c r="X665" s="6">
        <v>8.5090000000000003</v>
      </c>
      <c r="Y665" s="6"/>
      <c r="Z665" s="6">
        <v>8.5090000000000003</v>
      </c>
      <c r="AA665" s="6"/>
      <c r="AB665" s="6">
        <v>8.5090000000000003</v>
      </c>
      <c r="AC665" s="6"/>
      <c r="AD665" s="6">
        <v>8.5090000000000003</v>
      </c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>
        <v>12.586</v>
      </c>
      <c r="AP665" s="6"/>
      <c r="AQ665" s="6">
        <v>15.597</v>
      </c>
    </row>
    <row r="666" spans="1:43" ht="12">
      <c r="A666" s="37" t="s">
        <v>57</v>
      </c>
      <c r="B666" s="14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>
        <v>5.7549999999999999</v>
      </c>
      <c r="S666" s="6"/>
      <c r="T666" s="6">
        <v>7.8959999999999999</v>
      </c>
      <c r="U666" s="6"/>
      <c r="V666" s="6"/>
      <c r="W666" s="6"/>
      <c r="X666" s="6">
        <v>7.8959999999999999</v>
      </c>
      <c r="Y666" s="6"/>
      <c r="Z666" s="6">
        <v>7.8959999999999999</v>
      </c>
      <c r="AA666" s="6"/>
      <c r="AB666" s="6">
        <v>7.8959999999999999</v>
      </c>
      <c r="AC666" s="6"/>
      <c r="AD666" s="6">
        <v>7.8959999999999999</v>
      </c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>
        <v>11.68</v>
      </c>
      <c r="AP666" s="6"/>
      <c r="AQ666" s="6">
        <v>14.474</v>
      </c>
    </row>
    <row r="667" spans="1:43" ht="12">
      <c r="A667" s="37" t="s">
        <v>29</v>
      </c>
      <c r="B667" s="14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>
        <v>5.7030000000000003</v>
      </c>
      <c r="S667" s="6"/>
      <c r="T667" s="6">
        <v>7.8239999999999998</v>
      </c>
      <c r="U667" s="6"/>
      <c r="V667" s="6"/>
      <c r="W667" s="6"/>
      <c r="X667" s="6">
        <v>7.8239999999999998</v>
      </c>
      <c r="Y667" s="6"/>
      <c r="Z667" s="6">
        <v>7.8239999999999998</v>
      </c>
      <c r="AA667" s="6"/>
      <c r="AB667" s="6">
        <v>7.8239999999999998</v>
      </c>
      <c r="AC667" s="6"/>
      <c r="AD667" s="6">
        <v>7.8239999999999998</v>
      </c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>
        <v>11.573</v>
      </c>
      <c r="AP667" s="6"/>
      <c r="AQ667" s="6">
        <v>14.342000000000001</v>
      </c>
    </row>
    <row r="668" spans="1:43" ht="12">
      <c r="A668" s="39" t="s">
        <v>112</v>
      </c>
      <c r="B668" s="33" t="s">
        <v>154</v>
      </c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>
        <f>26.77+31.57+31.57</f>
        <v>89.91</v>
      </c>
      <c r="S668" s="30"/>
      <c r="T668" s="30">
        <v>88.727999999999994</v>
      </c>
      <c r="U668" s="30"/>
      <c r="V668" s="30"/>
      <c r="W668" s="30"/>
      <c r="X668" s="30">
        <v>88.727999999999994</v>
      </c>
      <c r="Y668" s="30"/>
      <c r="Z668" s="30">
        <v>88.727999999999994</v>
      </c>
      <c r="AA668" s="30"/>
      <c r="AB668" s="30">
        <v>88.727999999999994</v>
      </c>
      <c r="AC668" s="30"/>
      <c r="AD668" s="30">
        <v>88.727999999999994</v>
      </c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>
        <f>SUM(AO669:AO697)</f>
        <v>183.05</v>
      </c>
      <c r="AP668" s="30"/>
      <c r="AQ668" s="30">
        <f>SUM(AQ669:AQ697)</f>
        <v>192.61100000000002</v>
      </c>
    </row>
    <row r="669" spans="1:43" ht="12">
      <c r="A669" s="37" t="s">
        <v>21</v>
      </c>
      <c r="B669" s="14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>
        <v>2.742</v>
      </c>
      <c r="S669" s="6"/>
      <c r="T669" s="6">
        <v>2.706</v>
      </c>
      <c r="U669" s="6"/>
      <c r="V669" s="6"/>
      <c r="W669" s="6"/>
      <c r="X669" s="6">
        <v>2.706</v>
      </c>
      <c r="Y669" s="6"/>
      <c r="Z669" s="6">
        <v>2.706</v>
      </c>
      <c r="AA669" s="6"/>
      <c r="AB669" s="6">
        <v>2.706</v>
      </c>
      <c r="AC669" s="6"/>
      <c r="AD669" s="6">
        <v>2.706</v>
      </c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>
        <v>5.5819999999999999</v>
      </c>
      <c r="AP669" s="6"/>
      <c r="AQ669" s="6">
        <v>5.8739999999999997</v>
      </c>
    </row>
    <row r="670" spans="1:43" ht="12">
      <c r="A670" s="37" t="s">
        <v>43</v>
      </c>
      <c r="B670" s="14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>
        <v>2.577</v>
      </c>
      <c r="S670" s="6"/>
      <c r="T670" s="6">
        <v>2.5430000000000001</v>
      </c>
      <c r="U670" s="6"/>
      <c r="V670" s="6"/>
      <c r="W670" s="6"/>
      <c r="X670" s="6">
        <v>2.5430000000000001</v>
      </c>
      <c r="Y670" s="6"/>
      <c r="Z670" s="6">
        <v>2.5430000000000001</v>
      </c>
      <c r="AA670" s="6"/>
      <c r="AB670" s="6">
        <v>2.5430000000000001</v>
      </c>
      <c r="AC670" s="6"/>
      <c r="AD670" s="6">
        <v>2.5430000000000001</v>
      </c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>
        <v>5.2469999999999999</v>
      </c>
      <c r="AP670" s="6"/>
      <c r="AQ670" s="6">
        <v>5.5209999999999999</v>
      </c>
    </row>
    <row r="671" spans="1:43" ht="12">
      <c r="A671" s="37" t="s">
        <v>22</v>
      </c>
      <c r="B671" s="14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>
        <v>1.8009999999999999</v>
      </c>
      <c r="S671" s="6"/>
      <c r="T671" s="6">
        <v>1.7769999999999999</v>
      </c>
      <c r="U671" s="6"/>
      <c r="V671" s="6"/>
      <c r="W671" s="6"/>
      <c r="X671" s="6">
        <v>1.7769999999999999</v>
      </c>
      <c r="Y671" s="6"/>
      <c r="Z671" s="6">
        <v>1.7769999999999999</v>
      </c>
      <c r="AA671" s="6"/>
      <c r="AB671" s="6">
        <v>1.7769999999999999</v>
      </c>
      <c r="AC671" s="6"/>
      <c r="AD671" s="6">
        <v>1.7769999999999999</v>
      </c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>
        <v>3.6659999999999999</v>
      </c>
      <c r="AP671" s="6"/>
      <c r="AQ671" s="6">
        <v>3.8570000000000002</v>
      </c>
    </row>
    <row r="672" spans="1:43" ht="12">
      <c r="A672" s="37" t="s">
        <v>44</v>
      </c>
      <c r="B672" s="14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>
        <v>3.2719999999999998</v>
      </c>
      <c r="S672" s="6"/>
      <c r="T672" s="6">
        <v>3.2290000000000001</v>
      </c>
      <c r="U672" s="6"/>
      <c r="V672" s="6"/>
      <c r="W672" s="6"/>
      <c r="X672" s="6">
        <v>3.2290000000000001</v>
      </c>
      <c r="Y672" s="6"/>
      <c r="Z672" s="6">
        <v>3.2290000000000001</v>
      </c>
      <c r="AA672" s="6"/>
      <c r="AB672" s="6">
        <v>3.2290000000000001</v>
      </c>
      <c r="AC672" s="6"/>
      <c r="AD672" s="6">
        <v>3.2290000000000001</v>
      </c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>
        <v>6.6609999999999996</v>
      </c>
      <c r="AP672" s="6"/>
      <c r="AQ672" s="6">
        <v>7.0090000000000003</v>
      </c>
    </row>
    <row r="673" spans="1:43" ht="12">
      <c r="A673" s="37" t="s">
        <v>36</v>
      </c>
      <c r="B673" s="14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>
        <v>8.7690000000000001</v>
      </c>
      <c r="S673" s="6"/>
      <c r="T673" s="6">
        <v>8.6539999999999999</v>
      </c>
      <c r="U673" s="6"/>
      <c r="V673" s="6"/>
      <c r="W673" s="6"/>
      <c r="X673" s="6">
        <v>8.6539999999999999</v>
      </c>
      <c r="Y673" s="6"/>
      <c r="Z673" s="6">
        <v>8.6539999999999999</v>
      </c>
      <c r="AA673" s="6"/>
      <c r="AB673" s="6">
        <v>8.6539999999999999</v>
      </c>
      <c r="AC673" s="6"/>
      <c r="AD673" s="6">
        <v>8.6539999999999999</v>
      </c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>
        <v>17.853000000000002</v>
      </c>
      <c r="AP673" s="6"/>
      <c r="AQ673" s="6">
        <v>18.785</v>
      </c>
    </row>
    <row r="674" spans="1:43" ht="12">
      <c r="A674" s="37" t="s">
        <v>37</v>
      </c>
      <c r="B674" s="14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>
        <v>1.7809999999999999</v>
      </c>
      <c r="S674" s="6"/>
      <c r="T674" s="6">
        <v>1.7569999999999999</v>
      </c>
      <c r="U674" s="6"/>
      <c r="V674" s="6"/>
      <c r="W674" s="6"/>
      <c r="X674" s="6">
        <v>1.7569999999999999</v>
      </c>
      <c r="Y674" s="6"/>
      <c r="Z674" s="6">
        <v>1.7569999999999999</v>
      </c>
      <c r="AA674" s="6"/>
      <c r="AB674" s="6">
        <v>1.7569999999999999</v>
      </c>
      <c r="AC674" s="6"/>
      <c r="AD674" s="6">
        <v>1.7569999999999999</v>
      </c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>
        <v>3.6259999999999999</v>
      </c>
      <c r="AP674" s="6"/>
      <c r="AQ674" s="6">
        <v>3.8149999999999999</v>
      </c>
    </row>
    <row r="675" spans="1:43" ht="12">
      <c r="A675" s="37" t="s">
        <v>23</v>
      </c>
      <c r="B675" s="14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>
        <v>1.829</v>
      </c>
      <c r="S675" s="6"/>
      <c r="T675" s="6">
        <v>1.8049999999999999</v>
      </c>
      <c r="U675" s="6"/>
      <c r="V675" s="6"/>
      <c r="W675" s="6"/>
      <c r="X675" s="6">
        <v>1.8049999999999999</v>
      </c>
      <c r="Y675" s="6"/>
      <c r="Z675" s="6">
        <v>1.8049999999999999</v>
      </c>
      <c r="AA675" s="6"/>
      <c r="AB675" s="6">
        <v>1.8049999999999999</v>
      </c>
      <c r="AC675" s="6"/>
      <c r="AD675" s="6">
        <v>1.8049999999999999</v>
      </c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>
        <v>3.7240000000000002</v>
      </c>
      <c r="AP675" s="6"/>
      <c r="AQ675" s="6">
        <v>3.919</v>
      </c>
    </row>
    <row r="676" spans="1:43" ht="12">
      <c r="A676" s="37" t="s">
        <v>38</v>
      </c>
      <c r="B676" s="14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>
        <v>9.3810000000000002</v>
      </c>
      <c r="S676" s="6"/>
      <c r="T676" s="6">
        <v>9.2579999999999991</v>
      </c>
      <c r="U676" s="6"/>
      <c r="V676" s="6"/>
      <c r="W676" s="6"/>
      <c r="X676" s="6">
        <v>9.2579999999999991</v>
      </c>
      <c r="Y676" s="6"/>
      <c r="Z676" s="6">
        <v>9.2579999999999991</v>
      </c>
      <c r="AA676" s="6"/>
      <c r="AB676" s="6">
        <v>9.2579999999999991</v>
      </c>
      <c r="AC676" s="6"/>
      <c r="AD676" s="6">
        <v>9.2579999999999991</v>
      </c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>
        <v>19.100000000000001</v>
      </c>
      <c r="AP676" s="6"/>
      <c r="AQ676" s="6">
        <v>20.097000000000001</v>
      </c>
    </row>
    <row r="677" spans="1:43" ht="12">
      <c r="A677" s="37" t="s">
        <v>45</v>
      </c>
      <c r="B677" s="14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>
        <v>2.5750000000000002</v>
      </c>
      <c r="S677" s="6"/>
      <c r="T677" s="6">
        <v>2.5409999999999999</v>
      </c>
      <c r="U677" s="6"/>
      <c r="V677" s="6"/>
      <c r="W677" s="6"/>
      <c r="X677" s="6">
        <v>2.5409999999999999</v>
      </c>
      <c r="Y677" s="6"/>
      <c r="Z677" s="6">
        <v>2.5409999999999999</v>
      </c>
      <c r="AA677" s="6"/>
      <c r="AB677" s="6">
        <v>2.5409999999999999</v>
      </c>
      <c r="AC677" s="6"/>
      <c r="AD677" s="6">
        <v>2.5409999999999999</v>
      </c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>
        <v>5.242</v>
      </c>
      <c r="AP677" s="6"/>
      <c r="AQ677" s="6">
        <v>5.5149999999999997</v>
      </c>
    </row>
    <row r="678" spans="1:43" ht="12">
      <c r="A678" s="37" t="s">
        <v>46</v>
      </c>
      <c r="B678" s="14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>
        <v>2.2240000000000002</v>
      </c>
      <c r="S678" s="6"/>
      <c r="T678" s="6">
        <v>2.1949999999999998</v>
      </c>
      <c r="U678" s="6"/>
      <c r="V678" s="6"/>
      <c r="W678" s="6"/>
      <c r="X678" s="6">
        <v>2.1949999999999998</v>
      </c>
      <c r="Y678" s="6"/>
      <c r="Z678" s="6">
        <v>2.1949999999999998</v>
      </c>
      <c r="AA678" s="6"/>
      <c r="AB678" s="6">
        <v>2.1949999999999998</v>
      </c>
      <c r="AC678" s="6"/>
      <c r="AD678" s="6">
        <v>2.1949999999999998</v>
      </c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>
        <v>4.5270000000000001</v>
      </c>
      <c r="AP678" s="6"/>
      <c r="AQ678" s="6">
        <v>4.7640000000000002</v>
      </c>
    </row>
    <row r="679" spans="1:43" ht="12">
      <c r="A679" s="37" t="s">
        <v>24</v>
      </c>
      <c r="B679" s="14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>
        <v>3.1230000000000002</v>
      </c>
      <c r="S679" s="6"/>
      <c r="T679" s="6">
        <v>3.0819999999999999</v>
      </c>
      <c r="U679" s="6"/>
      <c r="V679" s="6"/>
      <c r="W679" s="6"/>
      <c r="X679" s="6">
        <v>3.0819999999999999</v>
      </c>
      <c r="Y679" s="6"/>
      <c r="Z679" s="6">
        <v>3.0819999999999999</v>
      </c>
      <c r="AA679" s="6"/>
      <c r="AB679" s="6">
        <v>3.0819999999999999</v>
      </c>
      <c r="AC679" s="6"/>
      <c r="AD679" s="6">
        <v>3.0819999999999999</v>
      </c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>
        <v>6.3579999999999997</v>
      </c>
      <c r="AP679" s="6"/>
      <c r="AQ679" s="6">
        <v>6.69</v>
      </c>
    </row>
    <row r="680" spans="1:43" ht="12">
      <c r="A680" s="37" t="s">
        <v>47</v>
      </c>
      <c r="B680" s="14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>
        <v>2.536</v>
      </c>
      <c r="S680" s="6"/>
      <c r="T680" s="6">
        <v>2.5030000000000001</v>
      </c>
      <c r="U680" s="6"/>
      <c r="V680" s="6"/>
      <c r="W680" s="6"/>
      <c r="X680" s="6">
        <v>2.5030000000000001</v>
      </c>
      <c r="Y680" s="6"/>
      <c r="Z680" s="6">
        <v>2.5030000000000001</v>
      </c>
      <c r="AA680" s="6"/>
      <c r="AB680" s="6">
        <v>2.5030000000000001</v>
      </c>
      <c r="AC680" s="6"/>
      <c r="AD680" s="6">
        <v>2.5030000000000001</v>
      </c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>
        <v>5.1639999999999997</v>
      </c>
      <c r="AP680" s="6"/>
      <c r="AQ680" s="6">
        <v>5.4340000000000002</v>
      </c>
    </row>
    <row r="681" spans="1:43" ht="12">
      <c r="A681" s="37" t="s">
        <v>40</v>
      </c>
      <c r="B681" s="14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>
        <v>2.6579999999999999</v>
      </c>
      <c r="S681" s="6"/>
      <c r="T681" s="6">
        <v>2.6230000000000002</v>
      </c>
      <c r="U681" s="6"/>
      <c r="V681" s="6"/>
      <c r="W681" s="6"/>
      <c r="X681" s="6">
        <v>2.6230000000000002</v>
      </c>
      <c r="Y681" s="6"/>
      <c r="Z681" s="6">
        <v>2.6230000000000002</v>
      </c>
      <c r="AA681" s="6"/>
      <c r="AB681" s="6">
        <v>2.6230000000000002</v>
      </c>
      <c r="AC681" s="6"/>
      <c r="AD681" s="6">
        <v>2.6230000000000002</v>
      </c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>
        <v>5.4109999999999996</v>
      </c>
      <c r="AP681" s="6"/>
      <c r="AQ681" s="6">
        <v>5.694</v>
      </c>
    </row>
    <row r="682" spans="1:43" ht="12">
      <c r="A682" s="37" t="s">
        <v>48</v>
      </c>
      <c r="B682" s="14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>
        <v>1.86</v>
      </c>
      <c r="S682" s="6"/>
      <c r="T682" s="6">
        <v>1.835</v>
      </c>
      <c r="U682" s="6"/>
      <c r="V682" s="6"/>
      <c r="W682" s="6"/>
      <c r="X682" s="6">
        <v>1.835</v>
      </c>
      <c r="Y682" s="6"/>
      <c r="Z682" s="6">
        <v>1.835</v>
      </c>
      <c r="AA682" s="6"/>
      <c r="AB682" s="6">
        <v>1.835</v>
      </c>
      <c r="AC682" s="6"/>
      <c r="AD682" s="6">
        <v>1.835</v>
      </c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>
        <v>3.7869999999999999</v>
      </c>
      <c r="AP682" s="6"/>
      <c r="AQ682" s="6">
        <v>3.984</v>
      </c>
    </row>
    <row r="683" spans="1:43" ht="12">
      <c r="A683" s="37" t="s">
        <v>41</v>
      </c>
      <c r="B683" s="14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>
        <v>1.7070000000000001</v>
      </c>
      <c r="S683" s="6"/>
      <c r="T683" s="6">
        <v>1.6839999999999999</v>
      </c>
      <c r="U683" s="6"/>
      <c r="V683" s="6"/>
      <c r="W683" s="6"/>
      <c r="X683" s="6">
        <v>1.6839999999999999</v>
      </c>
      <c r="Y683" s="6"/>
      <c r="Z683" s="6">
        <v>1.6839999999999999</v>
      </c>
      <c r="AA683" s="6"/>
      <c r="AB683" s="6">
        <v>1.6839999999999999</v>
      </c>
      <c r="AC683" s="6"/>
      <c r="AD683" s="6">
        <v>1.6839999999999999</v>
      </c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>
        <v>3.4740000000000002</v>
      </c>
      <c r="AP683" s="6"/>
      <c r="AQ683" s="6">
        <v>3.6560000000000001</v>
      </c>
    </row>
    <row r="684" spans="1:43" ht="12">
      <c r="A684" s="37" t="s">
        <v>49</v>
      </c>
      <c r="B684" s="14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>
        <v>1.5640000000000001</v>
      </c>
      <c r="S684" s="6"/>
      <c r="T684" s="6">
        <v>1.544</v>
      </c>
      <c r="U684" s="6"/>
      <c r="V684" s="6"/>
      <c r="W684" s="6"/>
      <c r="X684" s="6">
        <v>1.544</v>
      </c>
      <c r="Y684" s="6"/>
      <c r="Z684" s="6">
        <v>1.544</v>
      </c>
      <c r="AA684" s="6"/>
      <c r="AB684" s="6">
        <v>1.544</v>
      </c>
      <c r="AC684" s="6"/>
      <c r="AD684" s="6">
        <v>1.544</v>
      </c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>
        <v>3.1840000000000002</v>
      </c>
      <c r="AP684" s="6"/>
      <c r="AQ684" s="6">
        <v>3.351</v>
      </c>
    </row>
    <row r="685" spans="1:43" ht="12">
      <c r="A685" s="37" t="s">
        <v>50</v>
      </c>
      <c r="B685" s="14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>
        <v>1.873</v>
      </c>
      <c r="S685" s="6"/>
      <c r="T685" s="6">
        <v>1.8480000000000001</v>
      </c>
      <c r="U685" s="6"/>
      <c r="V685" s="6"/>
      <c r="W685" s="6"/>
      <c r="X685" s="6">
        <v>1.8480000000000001</v>
      </c>
      <c r="Y685" s="6"/>
      <c r="Z685" s="6">
        <v>1.8480000000000001</v>
      </c>
      <c r="AA685" s="6"/>
      <c r="AB685" s="6">
        <v>1.8480000000000001</v>
      </c>
      <c r="AC685" s="6"/>
      <c r="AD685" s="6">
        <v>1.8480000000000001</v>
      </c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>
        <v>3.8130000000000002</v>
      </c>
      <c r="AP685" s="6"/>
      <c r="AQ685" s="6">
        <v>4.0129999999999999</v>
      </c>
    </row>
    <row r="686" spans="1:43" ht="12">
      <c r="A686" s="37" t="s">
        <v>25</v>
      </c>
      <c r="B686" s="14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>
        <v>1.7529999999999999</v>
      </c>
      <c r="S686" s="6"/>
      <c r="T686" s="6">
        <v>1.73</v>
      </c>
      <c r="U686" s="6"/>
      <c r="V686" s="6"/>
      <c r="W686" s="6"/>
      <c r="X686" s="6">
        <v>1.73</v>
      </c>
      <c r="Y686" s="6"/>
      <c r="Z686" s="6">
        <v>1.73</v>
      </c>
      <c r="AA686" s="6"/>
      <c r="AB686" s="6">
        <v>1.73</v>
      </c>
      <c r="AC686" s="6"/>
      <c r="AD686" s="6">
        <v>1.73</v>
      </c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>
        <v>3.569</v>
      </c>
      <c r="AP686" s="6"/>
      <c r="AQ686" s="6">
        <v>3.7549999999999999</v>
      </c>
    </row>
    <row r="687" spans="1:43" ht="12">
      <c r="A687" s="37" t="s">
        <v>51</v>
      </c>
      <c r="B687" s="14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>
        <v>9.2490000000000006</v>
      </c>
      <c r="S687" s="6"/>
      <c r="T687" s="6">
        <v>9.1270000000000007</v>
      </c>
      <c r="U687" s="6"/>
      <c r="V687" s="6"/>
      <c r="W687" s="6"/>
      <c r="X687" s="6">
        <v>9.1270000000000007</v>
      </c>
      <c r="Y687" s="6"/>
      <c r="Z687" s="6">
        <v>9.1270000000000007</v>
      </c>
      <c r="AA687" s="6"/>
      <c r="AB687" s="6">
        <v>9.1270000000000007</v>
      </c>
      <c r="AC687" s="6"/>
      <c r="AD687" s="6">
        <v>9.1270000000000007</v>
      </c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>
        <v>18.829999999999998</v>
      </c>
      <c r="AP687" s="6"/>
      <c r="AQ687" s="6">
        <v>19.812999999999999</v>
      </c>
    </row>
    <row r="688" spans="1:43" ht="12">
      <c r="A688" s="37" t="s">
        <v>52</v>
      </c>
      <c r="B688" s="14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>
        <v>5.8449999999999998</v>
      </c>
      <c r="S688" s="6"/>
      <c r="T688" s="6">
        <v>5.7679999999999998</v>
      </c>
      <c r="U688" s="6"/>
      <c r="V688" s="6"/>
      <c r="W688" s="6"/>
      <c r="X688" s="6">
        <v>5.7679999999999998</v>
      </c>
      <c r="Y688" s="6"/>
      <c r="Z688" s="6">
        <v>5.7679999999999998</v>
      </c>
      <c r="AA688" s="6"/>
      <c r="AB688" s="6">
        <v>5.7679999999999998</v>
      </c>
      <c r="AC688" s="6"/>
      <c r="AD688" s="6">
        <v>5.7679999999999998</v>
      </c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>
        <v>11.9</v>
      </c>
      <c r="AP688" s="6"/>
      <c r="AQ688" s="6">
        <v>12.521000000000001</v>
      </c>
    </row>
    <row r="689" spans="1:43" ht="12">
      <c r="A689" s="37" t="s">
        <v>18</v>
      </c>
      <c r="B689" s="14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>
        <v>4.5369999999999999</v>
      </c>
      <c r="S689" s="6"/>
      <c r="T689" s="6">
        <v>4.4770000000000003</v>
      </c>
      <c r="U689" s="6"/>
      <c r="V689" s="6"/>
      <c r="W689" s="6"/>
      <c r="X689" s="6">
        <v>4.4770000000000003</v>
      </c>
      <c r="Y689" s="6"/>
      <c r="Z689" s="6">
        <v>4.4770000000000003</v>
      </c>
      <c r="AA689" s="6"/>
      <c r="AB689" s="6">
        <v>4.4770000000000003</v>
      </c>
      <c r="AC689" s="6"/>
      <c r="AD689" s="6">
        <v>4.4770000000000003</v>
      </c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>
        <v>9.2360000000000007</v>
      </c>
      <c r="AP689" s="6"/>
      <c r="AQ689" s="6">
        <v>9.7189999999999994</v>
      </c>
    </row>
    <row r="690" spans="1:43" ht="12">
      <c r="A690" s="37" t="s">
        <v>53</v>
      </c>
      <c r="B690" s="14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>
        <v>3.738</v>
      </c>
      <c r="S690" s="6"/>
      <c r="T690" s="6">
        <v>3.6880000000000002</v>
      </c>
      <c r="U690" s="6"/>
      <c r="V690" s="6"/>
      <c r="W690" s="6"/>
      <c r="X690" s="6">
        <v>3.6880000000000002</v>
      </c>
      <c r="Y690" s="6"/>
      <c r="Z690" s="6">
        <v>3.6880000000000002</v>
      </c>
      <c r="AA690" s="6"/>
      <c r="AB690" s="6">
        <v>3.6880000000000002</v>
      </c>
      <c r="AC690" s="6"/>
      <c r="AD690" s="6">
        <v>3.6880000000000002</v>
      </c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>
        <v>7.609</v>
      </c>
      <c r="AP690" s="6"/>
      <c r="AQ690" s="6">
        <v>8.0069999999999997</v>
      </c>
    </row>
    <row r="691" spans="1:43" ht="12">
      <c r="A691" s="37" t="s">
        <v>54</v>
      </c>
      <c r="B691" s="14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>
        <v>1.6950000000000001</v>
      </c>
      <c r="S691" s="6"/>
      <c r="T691" s="6">
        <v>1.673</v>
      </c>
      <c r="U691" s="6"/>
      <c r="V691" s="6"/>
      <c r="W691" s="6"/>
      <c r="X691" s="6">
        <v>1.673</v>
      </c>
      <c r="Y691" s="6"/>
      <c r="Z691" s="6">
        <v>1.673</v>
      </c>
      <c r="AA691" s="6"/>
      <c r="AB691" s="6">
        <v>1.673</v>
      </c>
      <c r="AC691" s="6"/>
      <c r="AD691" s="6">
        <v>1.673</v>
      </c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>
        <v>3.452</v>
      </c>
      <c r="AP691" s="6"/>
      <c r="AQ691" s="6">
        <v>3.6320000000000001</v>
      </c>
    </row>
    <row r="692" spans="1:43" ht="12">
      <c r="A692" s="37" t="s">
        <v>55</v>
      </c>
      <c r="B692" s="14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>
        <v>1.645</v>
      </c>
      <c r="S692" s="6"/>
      <c r="T692" s="6">
        <v>1.6240000000000001</v>
      </c>
      <c r="U692" s="6"/>
      <c r="V692" s="6"/>
      <c r="W692" s="6"/>
      <c r="X692" s="6">
        <v>1.6240000000000001</v>
      </c>
      <c r="Y692" s="6"/>
      <c r="Z692" s="6">
        <v>1.6240000000000001</v>
      </c>
      <c r="AA692" s="6"/>
      <c r="AB692" s="6">
        <v>1.6240000000000001</v>
      </c>
      <c r="AC692" s="6"/>
      <c r="AD692" s="6">
        <v>1.6240000000000001</v>
      </c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>
        <v>3.35</v>
      </c>
      <c r="AP692" s="6"/>
      <c r="AQ692" s="6">
        <v>3.5249999999999999</v>
      </c>
    </row>
    <row r="693" spans="1:43" ht="12">
      <c r="A693" s="37" t="s">
        <v>56</v>
      </c>
      <c r="B693" s="14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>
        <v>1.68</v>
      </c>
      <c r="S693" s="6"/>
      <c r="T693" s="6">
        <v>1.6579999999999999</v>
      </c>
      <c r="U693" s="6"/>
      <c r="V693" s="6"/>
      <c r="W693" s="6"/>
      <c r="X693" s="6">
        <v>1.6579999999999999</v>
      </c>
      <c r="Y693" s="6"/>
      <c r="Z693" s="6">
        <v>1.6579999999999999</v>
      </c>
      <c r="AA693" s="6"/>
      <c r="AB693" s="6">
        <v>1.6579999999999999</v>
      </c>
      <c r="AC693" s="6"/>
      <c r="AD693" s="6">
        <v>1.6579999999999999</v>
      </c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>
        <v>3.42</v>
      </c>
      <c r="AP693" s="6"/>
      <c r="AQ693" s="6">
        <v>3.5990000000000002</v>
      </c>
    </row>
    <row r="694" spans="1:43" ht="12">
      <c r="A694" s="37" t="s">
        <v>26</v>
      </c>
      <c r="B694" s="14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>
        <v>2.25</v>
      </c>
      <c r="S694" s="6"/>
      <c r="T694" s="6">
        <v>2.2210000000000001</v>
      </c>
      <c r="U694" s="6"/>
      <c r="V694" s="6"/>
      <c r="W694" s="6"/>
      <c r="X694" s="6">
        <v>2.2210000000000001</v>
      </c>
      <c r="Y694" s="6"/>
      <c r="Z694" s="6">
        <v>2.2210000000000001</v>
      </c>
      <c r="AA694" s="6"/>
      <c r="AB694" s="6">
        <v>2.2210000000000001</v>
      </c>
      <c r="AC694" s="6"/>
      <c r="AD694" s="6">
        <v>2.2210000000000001</v>
      </c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>
        <v>4.5819999999999999</v>
      </c>
      <c r="AP694" s="6"/>
      <c r="AQ694" s="6">
        <v>4.8209999999999997</v>
      </c>
    </row>
    <row r="695" spans="1:43" ht="12">
      <c r="A695" s="37" t="s">
        <v>27</v>
      </c>
      <c r="B695" s="14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>
        <v>1.843</v>
      </c>
      <c r="S695" s="6"/>
      <c r="T695" s="6">
        <v>1.8180000000000001</v>
      </c>
      <c r="U695" s="6"/>
      <c r="V695" s="6"/>
      <c r="W695" s="6"/>
      <c r="X695" s="6">
        <v>1.8180000000000001</v>
      </c>
      <c r="Y695" s="6"/>
      <c r="Z695" s="6">
        <v>1.8180000000000001</v>
      </c>
      <c r="AA695" s="6"/>
      <c r="AB695" s="6">
        <v>1.8180000000000001</v>
      </c>
      <c r="AC695" s="6"/>
      <c r="AD695" s="6">
        <v>1.8180000000000001</v>
      </c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>
        <v>3.7519999999999998</v>
      </c>
      <c r="AP695" s="6"/>
      <c r="AQ695" s="6">
        <v>3.948</v>
      </c>
    </row>
    <row r="696" spans="1:43" ht="12">
      <c r="A696" s="37" t="s">
        <v>57</v>
      </c>
      <c r="B696" s="14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>
        <v>1.71</v>
      </c>
      <c r="S696" s="6"/>
      <c r="T696" s="6">
        <v>1.6879999999999999</v>
      </c>
      <c r="U696" s="6"/>
      <c r="V696" s="6"/>
      <c r="W696" s="6"/>
      <c r="X696" s="6">
        <v>1.6879999999999999</v>
      </c>
      <c r="Y696" s="6"/>
      <c r="Z696" s="6">
        <v>1.6879999999999999</v>
      </c>
      <c r="AA696" s="6"/>
      <c r="AB696" s="6">
        <v>1.6879999999999999</v>
      </c>
      <c r="AC696" s="6"/>
      <c r="AD696" s="6">
        <v>1.6879999999999999</v>
      </c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>
        <v>3.4809999999999999</v>
      </c>
      <c r="AP696" s="6"/>
      <c r="AQ696" s="6">
        <v>3.6629999999999998</v>
      </c>
    </row>
    <row r="697" spans="1:43" ht="12">
      <c r="A697" s="37" t="s">
        <v>29</v>
      </c>
      <c r="B697" s="14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>
        <v>1.6930000000000001</v>
      </c>
      <c r="S697" s="6"/>
      <c r="T697" s="6">
        <v>1.6719999999999999</v>
      </c>
      <c r="U697" s="6"/>
      <c r="V697" s="6"/>
      <c r="W697" s="6"/>
      <c r="X697" s="6">
        <v>1.6719999999999999</v>
      </c>
      <c r="Y697" s="6"/>
      <c r="Z697" s="6">
        <v>1.6719999999999999</v>
      </c>
      <c r="AA697" s="6"/>
      <c r="AB697" s="6">
        <v>1.6719999999999999</v>
      </c>
      <c r="AC697" s="6"/>
      <c r="AD697" s="6">
        <v>1.6719999999999999</v>
      </c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>
        <v>3.45</v>
      </c>
      <c r="AP697" s="6"/>
      <c r="AQ697" s="6">
        <v>3.63</v>
      </c>
    </row>
    <row r="698" spans="1:43" ht="12">
      <c r="A698" s="39" t="s">
        <v>113</v>
      </c>
      <c r="B698" s="33" t="s">
        <v>154</v>
      </c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>
        <f>80.42+100.52+233.25</f>
        <v>414.19</v>
      </c>
      <c r="S698" s="30"/>
      <c r="T698" s="30">
        <f>SUM(T699:T727)</f>
        <v>642.55600000000004</v>
      </c>
      <c r="U698" s="30"/>
      <c r="V698" s="30"/>
      <c r="W698" s="30"/>
      <c r="X698" s="30">
        <f>SUM(X699:X727)</f>
        <v>642.55600000000004</v>
      </c>
      <c r="Y698" s="30"/>
      <c r="Z698" s="30">
        <f>SUM(Z699:Z727)</f>
        <v>642.55600000000004</v>
      </c>
      <c r="AA698" s="30"/>
      <c r="AB698" s="30">
        <f>SUM(AB699:AB727)</f>
        <v>642.55600000000004</v>
      </c>
      <c r="AC698" s="30"/>
      <c r="AD698" s="30">
        <f>SUM(AD699:AD727)</f>
        <v>642.55600000000004</v>
      </c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>
        <f>SUM(AO699:AO727)</f>
        <v>829.55000000000018</v>
      </c>
      <c r="AP698" s="30"/>
      <c r="AQ698" s="30">
        <f>SUM(AQ699:AQ727)</f>
        <v>1174.3300000000004</v>
      </c>
    </row>
    <row r="699" spans="1:43" ht="12">
      <c r="A699" s="37" t="s">
        <v>21</v>
      </c>
      <c r="B699" s="33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>
        <v>12.631</v>
      </c>
      <c r="S699" s="6"/>
      <c r="T699" s="6">
        <v>19.594999999999999</v>
      </c>
      <c r="U699" s="6"/>
      <c r="V699" s="6"/>
      <c r="W699" s="6"/>
      <c r="X699" s="6">
        <v>19.594999999999999</v>
      </c>
      <c r="Y699" s="6"/>
      <c r="Z699" s="6">
        <v>19.594999999999999</v>
      </c>
      <c r="AA699" s="6"/>
      <c r="AB699" s="6">
        <v>19.594999999999999</v>
      </c>
      <c r="AC699" s="6"/>
      <c r="AD699" s="6">
        <v>19.594999999999999</v>
      </c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>
        <v>25.297000000000001</v>
      </c>
      <c r="AP699" s="6"/>
      <c r="AQ699" s="6">
        <v>35.807000000000002</v>
      </c>
    </row>
    <row r="700" spans="1:43" ht="12">
      <c r="A700" s="37" t="s">
        <v>43</v>
      </c>
      <c r="B700" s="14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>
        <v>11.872999999999999</v>
      </c>
      <c r="S700" s="6"/>
      <c r="T700" s="6">
        <v>18.419</v>
      </c>
      <c r="U700" s="6"/>
      <c r="V700" s="6"/>
      <c r="W700" s="6"/>
      <c r="X700" s="6">
        <v>18.419</v>
      </c>
      <c r="Y700" s="6"/>
      <c r="Z700" s="6">
        <v>18.419</v>
      </c>
      <c r="AA700" s="6"/>
      <c r="AB700" s="6">
        <v>18.419</v>
      </c>
      <c r="AC700" s="6"/>
      <c r="AD700" s="6">
        <v>18.419</v>
      </c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>
        <v>23.779</v>
      </c>
      <c r="AP700" s="6"/>
      <c r="AQ700" s="6">
        <v>33.658000000000001</v>
      </c>
    </row>
    <row r="701" spans="1:43" ht="12">
      <c r="A701" s="37" t="s">
        <v>22</v>
      </c>
      <c r="B701" s="14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>
        <v>8.2949999999999999</v>
      </c>
      <c r="S701" s="6"/>
      <c r="T701" s="6">
        <v>12.868</v>
      </c>
      <c r="U701" s="6"/>
      <c r="V701" s="6"/>
      <c r="W701" s="6"/>
      <c r="X701" s="6">
        <v>12.868</v>
      </c>
      <c r="Y701" s="6"/>
      <c r="Z701" s="6">
        <v>12.868</v>
      </c>
      <c r="AA701" s="6"/>
      <c r="AB701" s="6">
        <v>12.868</v>
      </c>
      <c r="AC701" s="6"/>
      <c r="AD701" s="6">
        <v>12.868</v>
      </c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>
        <v>16.613</v>
      </c>
      <c r="AP701" s="6"/>
      <c r="AQ701" s="6">
        <v>23.515000000000001</v>
      </c>
    </row>
    <row r="702" spans="1:43" ht="12">
      <c r="A702" s="37" t="s">
        <v>44</v>
      </c>
      <c r="B702" s="14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>
        <v>15.071</v>
      </c>
      <c r="S702" s="6"/>
      <c r="T702" s="6">
        <v>23.381</v>
      </c>
      <c r="U702" s="6"/>
      <c r="V702" s="6"/>
      <c r="W702" s="6"/>
      <c r="X702" s="6">
        <v>23.381</v>
      </c>
      <c r="Y702" s="6"/>
      <c r="Z702" s="6">
        <v>23.381</v>
      </c>
      <c r="AA702" s="6"/>
      <c r="AB702" s="6">
        <v>23.381</v>
      </c>
      <c r="AC702" s="6"/>
      <c r="AD702" s="6">
        <v>23.381</v>
      </c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>
        <v>30.184999999999999</v>
      </c>
      <c r="AP702" s="6"/>
      <c r="AQ702" s="6">
        <v>42.725000000000001</v>
      </c>
    </row>
    <row r="703" spans="1:43" ht="12">
      <c r="A703" s="37" t="s">
        <v>36</v>
      </c>
      <c r="B703" s="14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>
        <v>40.396000000000001</v>
      </c>
      <c r="S703" s="6"/>
      <c r="T703" s="6">
        <v>62.667999999999999</v>
      </c>
      <c r="U703" s="6"/>
      <c r="V703" s="6"/>
      <c r="W703" s="6"/>
      <c r="X703" s="6">
        <v>62.667999999999999</v>
      </c>
      <c r="Y703" s="6"/>
      <c r="Z703" s="6">
        <v>62.667999999999999</v>
      </c>
      <c r="AA703" s="6"/>
      <c r="AB703" s="6">
        <v>62.667999999999999</v>
      </c>
      <c r="AC703" s="6"/>
      <c r="AD703" s="6">
        <v>62.667999999999999</v>
      </c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>
        <v>80.905000000000001</v>
      </c>
      <c r="AP703" s="6"/>
      <c r="AQ703" s="6">
        <v>114.517</v>
      </c>
    </row>
    <row r="704" spans="1:43" ht="12">
      <c r="A704" s="37" t="s">
        <v>37</v>
      </c>
      <c r="B704" s="14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>
        <v>8.2040000000000006</v>
      </c>
      <c r="S704" s="6"/>
      <c r="T704" s="6">
        <v>12.727</v>
      </c>
      <c r="U704" s="6"/>
      <c r="V704" s="6"/>
      <c r="W704" s="6"/>
      <c r="X704" s="6">
        <v>12.727</v>
      </c>
      <c r="Y704" s="6"/>
      <c r="Z704" s="6">
        <v>12.727</v>
      </c>
      <c r="AA704" s="6"/>
      <c r="AB704" s="6">
        <v>12.727</v>
      </c>
      <c r="AC704" s="6"/>
      <c r="AD704" s="6">
        <v>12.727</v>
      </c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>
        <v>16.431000000000001</v>
      </c>
      <c r="AP704" s="6"/>
      <c r="AQ704" s="6">
        <v>23.257000000000001</v>
      </c>
    </row>
    <row r="705" spans="1:43" ht="12">
      <c r="A705" s="37" t="s">
        <v>23</v>
      </c>
      <c r="B705" s="14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>
        <v>8.4269999999999996</v>
      </c>
      <c r="S705" s="6"/>
      <c r="T705" s="6">
        <v>13.073</v>
      </c>
      <c r="U705" s="6"/>
      <c r="V705" s="6"/>
      <c r="W705" s="6"/>
      <c r="X705" s="6">
        <v>13.073</v>
      </c>
      <c r="Y705" s="6"/>
      <c r="Z705" s="6">
        <v>13.073</v>
      </c>
      <c r="AA705" s="6"/>
      <c r="AB705" s="6">
        <v>13.073</v>
      </c>
      <c r="AC705" s="6"/>
      <c r="AD705" s="6">
        <v>13.073</v>
      </c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>
        <v>16.876999999999999</v>
      </c>
      <c r="AP705" s="6"/>
      <c r="AQ705" s="6">
        <v>23.888999999999999</v>
      </c>
    </row>
    <row r="706" spans="1:43" ht="12">
      <c r="A706" s="37" t="s">
        <v>38</v>
      </c>
      <c r="B706" s="14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>
        <v>43.216999999999999</v>
      </c>
      <c r="S706" s="6"/>
      <c r="T706" s="6">
        <v>67.045000000000002</v>
      </c>
      <c r="U706" s="6"/>
      <c r="V706" s="6"/>
      <c r="W706" s="6"/>
      <c r="X706" s="6">
        <v>67.045000000000002</v>
      </c>
      <c r="Y706" s="6"/>
      <c r="Z706" s="6">
        <v>67.045000000000002</v>
      </c>
      <c r="AA706" s="6"/>
      <c r="AB706" s="6">
        <v>67.045000000000002</v>
      </c>
      <c r="AC706" s="6"/>
      <c r="AD706" s="6">
        <v>67.045000000000002</v>
      </c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>
        <v>86.555999999999997</v>
      </c>
      <c r="AP706" s="6"/>
      <c r="AQ706" s="6">
        <v>122.515</v>
      </c>
    </row>
    <row r="707" spans="1:43" ht="12">
      <c r="A707" s="37" t="s">
        <v>45</v>
      </c>
      <c r="B707" s="14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>
        <v>11.861000000000001</v>
      </c>
      <c r="S707" s="6"/>
      <c r="T707" s="6">
        <v>18.399999999999999</v>
      </c>
      <c r="U707" s="6"/>
      <c r="V707" s="6"/>
      <c r="W707" s="6"/>
      <c r="X707" s="6">
        <v>18.399999999999999</v>
      </c>
      <c r="Y707" s="6"/>
      <c r="Z707" s="6">
        <v>18.399999999999999</v>
      </c>
      <c r="AA707" s="6"/>
      <c r="AB707" s="6">
        <v>18.399999999999999</v>
      </c>
      <c r="AC707" s="6"/>
      <c r="AD707" s="6">
        <v>18.399999999999999</v>
      </c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>
        <v>23.754999999999999</v>
      </c>
      <c r="AP707" s="6"/>
      <c r="AQ707" s="6">
        <v>33.622999999999998</v>
      </c>
    </row>
    <row r="708" spans="1:43" ht="12">
      <c r="A708" s="37" t="s">
        <v>46</v>
      </c>
      <c r="B708" s="14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>
        <v>10.244</v>
      </c>
      <c r="S708" s="6"/>
      <c r="T708" s="6">
        <v>15.893000000000001</v>
      </c>
      <c r="U708" s="6"/>
      <c r="V708" s="6"/>
      <c r="W708" s="6"/>
      <c r="X708" s="6">
        <v>15.893000000000001</v>
      </c>
      <c r="Y708" s="6"/>
      <c r="Z708" s="6">
        <v>15.893000000000001</v>
      </c>
      <c r="AA708" s="6"/>
      <c r="AB708" s="6">
        <v>15.893000000000001</v>
      </c>
      <c r="AC708" s="6"/>
      <c r="AD708" s="6">
        <v>15.893000000000001</v>
      </c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>
        <v>20.518000000000001</v>
      </c>
      <c r="AP708" s="6"/>
      <c r="AQ708" s="6">
        <v>29.041</v>
      </c>
    </row>
    <row r="709" spans="1:43" ht="12">
      <c r="A709" s="37" t="s">
        <v>24</v>
      </c>
      <c r="B709" s="14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>
        <v>14.387</v>
      </c>
      <c r="S709" s="6"/>
      <c r="T709" s="6">
        <v>22.32</v>
      </c>
      <c r="U709" s="6"/>
      <c r="V709" s="6"/>
      <c r="W709" s="6"/>
      <c r="X709" s="6">
        <v>22.32</v>
      </c>
      <c r="Y709" s="6"/>
      <c r="Z709" s="6">
        <v>22.32</v>
      </c>
      <c r="AA709" s="6"/>
      <c r="AB709" s="6">
        <v>22.32</v>
      </c>
      <c r="AC709" s="6"/>
      <c r="AD709" s="6">
        <v>22.32</v>
      </c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>
        <v>28.815000000000001</v>
      </c>
      <c r="AP709" s="6"/>
      <c r="AQ709" s="6">
        <v>40.786000000000001</v>
      </c>
    </row>
    <row r="710" spans="1:43" ht="12">
      <c r="A710" s="37" t="s">
        <v>47</v>
      </c>
      <c r="B710" s="14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>
        <v>11.683999999999999</v>
      </c>
      <c r="S710" s="6"/>
      <c r="T710" s="6">
        <v>18.126999999999999</v>
      </c>
      <c r="U710" s="6"/>
      <c r="V710" s="6"/>
      <c r="W710" s="6"/>
      <c r="X710" s="6">
        <v>18.126999999999999</v>
      </c>
      <c r="Y710" s="6"/>
      <c r="Z710" s="6">
        <v>18.126999999999999</v>
      </c>
      <c r="AA710" s="6"/>
      <c r="AB710" s="6">
        <v>18.126999999999999</v>
      </c>
      <c r="AC710" s="6"/>
      <c r="AD710" s="6">
        <v>18.126999999999999</v>
      </c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>
        <v>23.402000000000001</v>
      </c>
      <c r="AP710" s="6"/>
      <c r="AQ710" s="6">
        <v>33.124000000000002</v>
      </c>
    </row>
    <row r="711" spans="1:43" ht="12">
      <c r="A711" s="37" t="s">
        <v>40</v>
      </c>
      <c r="B711" s="14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>
        <v>12.244999999999999</v>
      </c>
      <c r="S711" s="6"/>
      <c r="T711" s="6">
        <v>18.995999999999999</v>
      </c>
      <c r="U711" s="6"/>
      <c r="V711" s="6"/>
      <c r="W711" s="6"/>
      <c r="X711" s="6">
        <v>18.995999999999999</v>
      </c>
      <c r="Y711" s="6"/>
      <c r="Z711" s="6">
        <v>18.995999999999999</v>
      </c>
      <c r="AA711" s="6"/>
      <c r="AB711" s="6">
        <v>18.995999999999999</v>
      </c>
      <c r="AC711" s="6"/>
      <c r="AD711" s="6">
        <v>18.995999999999999</v>
      </c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>
        <v>24.524000000000001</v>
      </c>
      <c r="AP711" s="6"/>
      <c r="AQ711" s="6">
        <v>34.712000000000003</v>
      </c>
    </row>
    <row r="712" spans="1:43" ht="12">
      <c r="A712" s="37" t="s">
        <v>48</v>
      </c>
      <c r="B712" s="14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>
        <v>8.5679999999999996</v>
      </c>
      <c r="S712" s="6"/>
      <c r="T712" s="6">
        <v>13.292</v>
      </c>
      <c r="U712" s="6"/>
      <c r="V712" s="6"/>
      <c r="W712" s="6"/>
      <c r="X712" s="6">
        <v>13.292</v>
      </c>
      <c r="Y712" s="6"/>
      <c r="Z712" s="6">
        <v>13.292</v>
      </c>
      <c r="AA712" s="6"/>
      <c r="AB712" s="6">
        <v>13.292</v>
      </c>
      <c r="AC712" s="6"/>
      <c r="AD712" s="6">
        <v>13.292</v>
      </c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>
        <v>17.16</v>
      </c>
      <c r="AP712" s="6"/>
      <c r="AQ712" s="6">
        <v>24.29</v>
      </c>
    </row>
    <row r="713" spans="1:43" ht="12">
      <c r="A713" s="37" t="s">
        <v>41</v>
      </c>
      <c r="B713" s="14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>
        <v>7.8620000000000001</v>
      </c>
      <c r="S713" s="6"/>
      <c r="T713" s="6">
        <v>12.196</v>
      </c>
      <c r="U713" s="6"/>
      <c r="V713" s="6"/>
      <c r="W713" s="6"/>
      <c r="X713" s="6">
        <v>12.196</v>
      </c>
      <c r="Y713" s="6"/>
      <c r="Z713" s="6">
        <v>12.196</v>
      </c>
      <c r="AA713" s="6"/>
      <c r="AB713" s="6">
        <v>12.196</v>
      </c>
      <c r="AC713" s="6"/>
      <c r="AD713" s="6">
        <v>12.196</v>
      </c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>
        <v>15.746</v>
      </c>
      <c r="AP713" s="6"/>
      <c r="AQ713" s="6">
        <v>22.286999999999999</v>
      </c>
    </row>
    <row r="714" spans="1:43" ht="12">
      <c r="A714" s="37" t="s">
        <v>49</v>
      </c>
      <c r="B714" s="14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>
        <v>7.2050000000000001</v>
      </c>
      <c r="S714" s="6"/>
      <c r="T714" s="6">
        <v>11.178000000000001</v>
      </c>
      <c r="U714" s="6"/>
      <c r="V714" s="6"/>
      <c r="W714" s="6"/>
      <c r="X714" s="6">
        <v>11.178000000000001</v>
      </c>
      <c r="Y714" s="6"/>
      <c r="Z714" s="6">
        <v>11.178000000000001</v>
      </c>
      <c r="AA714" s="6"/>
      <c r="AB714" s="6">
        <v>11.178000000000001</v>
      </c>
      <c r="AC714" s="6"/>
      <c r="AD714" s="6">
        <v>11.178000000000001</v>
      </c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>
        <v>14.430999999999999</v>
      </c>
      <c r="AP714" s="6"/>
      <c r="AQ714" s="6">
        <v>20.425999999999998</v>
      </c>
    </row>
    <row r="715" spans="1:43" ht="12">
      <c r="A715" s="37" t="s">
        <v>50</v>
      </c>
      <c r="B715" s="14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>
        <v>8.6289999999999996</v>
      </c>
      <c r="S715" s="6"/>
      <c r="T715" s="6">
        <v>13.385999999999999</v>
      </c>
      <c r="U715" s="6"/>
      <c r="V715" s="6"/>
      <c r="W715" s="6"/>
      <c r="X715" s="6">
        <v>13.385999999999999</v>
      </c>
      <c r="Y715" s="6"/>
      <c r="Z715" s="6">
        <v>13.385999999999999</v>
      </c>
      <c r="AA715" s="6"/>
      <c r="AB715" s="6">
        <v>13.385999999999999</v>
      </c>
      <c r="AC715" s="6"/>
      <c r="AD715" s="6">
        <v>13.385999999999999</v>
      </c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>
        <v>17.282</v>
      </c>
      <c r="AP715" s="6"/>
      <c r="AQ715" s="6">
        <v>24.462</v>
      </c>
    </row>
    <row r="716" spans="1:43" ht="12">
      <c r="A716" s="37" t="s">
        <v>25</v>
      </c>
      <c r="B716" s="14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>
        <v>8.0749999999999993</v>
      </c>
      <c r="S716" s="6"/>
      <c r="T716" s="6">
        <v>12.526999999999999</v>
      </c>
      <c r="U716" s="6"/>
      <c r="V716" s="6"/>
      <c r="W716" s="6"/>
      <c r="X716" s="6">
        <v>12.526999999999999</v>
      </c>
      <c r="Y716" s="6"/>
      <c r="Z716" s="6">
        <v>12.526999999999999</v>
      </c>
      <c r="AA716" s="6"/>
      <c r="AB716" s="6">
        <v>12.526999999999999</v>
      </c>
      <c r="AC716" s="6"/>
      <c r="AD716" s="6">
        <v>12.526999999999999</v>
      </c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>
        <v>16.172999999999998</v>
      </c>
      <c r="AP716" s="6"/>
      <c r="AQ716" s="6">
        <v>23.042000000000002</v>
      </c>
    </row>
    <row r="717" spans="1:43" ht="12">
      <c r="A717" s="37" t="s">
        <v>51</v>
      </c>
      <c r="B717" s="14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>
        <v>42.606999999999999</v>
      </c>
      <c r="S717" s="6"/>
      <c r="T717" s="6">
        <v>66.099000000000004</v>
      </c>
      <c r="U717" s="6"/>
      <c r="V717" s="6"/>
      <c r="W717" s="6"/>
      <c r="X717" s="6">
        <v>66.099000000000004</v>
      </c>
      <c r="Y717" s="6"/>
      <c r="Z717" s="6">
        <v>66.099000000000004</v>
      </c>
      <c r="AA717" s="6"/>
      <c r="AB717" s="6">
        <v>66.099000000000004</v>
      </c>
      <c r="AC717" s="6"/>
      <c r="AD717" s="6">
        <v>66.099000000000004</v>
      </c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>
        <v>85.334000000000003</v>
      </c>
      <c r="AP717" s="6"/>
      <c r="AQ717" s="6">
        <v>120.786</v>
      </c>
    </row>
    <row r="718" spans="1:43" ht="12">
      <c r="A718" s="37" t="s">
        <v>52</v>
      </c>
      <c r="B718" s="14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>
        <v>26.925999999999998</v>
      </c>
      <c r="S718" s="6"/>
      <c r="T718" s="6">
        <v>41.771000000000001</v>
      </c>
      <c r="U718" s="6"/>
      <c r="V718" s="6"/>
      <c r="W718" s="6"/>
      <c r="X718" s="6">
        <v>41.771000000000001</v>
      </c>
      <c r="Y718" s="6"/>
      <c r="Z718" s="6">
        <v>41.771000000000001</v>
      </c>
      <c r="AA718" s="6"/>
      <c r="AB718" s="6">
        <v>41.771000000000001</v>
      </c>
      <c r="AC718" s="6"/>
      <c r="AD718" s="6">
        <v>41.771000000000001</v>
      </c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>
        <v>53.927999999999997</v>
      </c>
      <c r="AP718" s="6"/>
      <c r="AQ718" s="6">
        <v>76.331000000000003</v>
      </c>
    </row>
    <row r="719" spans="1:43" ht="12">
      <c r="A719" s="37" t="s">
        <v>18</v>
      </c>
      <c r="B719" s="14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>
        <v>20.899000000000001</v>
      </c>
      <c r="S719" s="6"/>
      <c r="T719" s="6">
        <v>32.420999999999999</v>
      </c>
      <c r="U719" s="6"/>
      <c r="V719" s="6"/>
      <c r="W719" s="6"/>
      <c r="X719" s="6">
        <v>32.420999999999999</v>
      </c>
      <c r="Y719" s="6"/>
      <c r="Z719" s="6">
        <v>32.420999999999999</v>
      </c>
      <c r="AA719" s="6"/>
      <c r="AB719" s="6">
        <v>32.420999999999999</v>
      </c>
      <c r="AC719" s="6"/>
      <c r="AD719" s="6">
        <v>32.420999999999999</v>
      </c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>
        <v>41.856999999999999</v>
      </c>
      <c r="AP719" s="6"/>
      <c r="AQ719" s="6">
        <v>59.246000000000002</v>
      </c>
    </row>
    <row r="720" spans="1:43" ht="12">
      <c r="A720" s="37" t="s">
        <v>53</v>
      </c>
      <c r="B720" s="14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>
        <v>17.218</v>
      </c>
      <c r="S720" s="6"/>
      <c r="T720" s="6">
        <v>26.710999999999999</v>
      </c>
      <c r="U720" s="6"/>
      <c r="V720" s="6"/>
      <c r="W720" s="6"/>
      <c r="X720" s="6">
        <v>26.710999999999999</v>
      </c>
      <c r="Y720" s="6"/>
      <c r="Z720" s="6">
        <v>26.710999999999999</v>
      </c>
      <c r="AA720" s="6"/>
      <c r="AB720" s="6">
        <v>26.710999999999999</v>
      </c>
      <c r="AC720" s="6"/>
      <c r="AD720" s="6">
        <v>26.710999999999999</v>
      </c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>
        <v>34.484000000000002</v>
      </c>
      <c r="AP720" s="6"/>
      <c r="AQ720" s="6">
        <v>48.81</v>
      </c>
    </row>
    <row r="721" spans="1:43" ht="12">
      <c r="A721" s="37" t="s">
        <v>54</v>
      </c>
      <c r="B721" s="14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>
        <v>7.81</v>
      </c>
      <c r="S721" s="6"/>
      <c r="T721" s="6">
        <v>12.116</v>
      </c>
      <c r="U721" s="6"/>
      <c r="V721" s="6"/>
      <c r="W721" s="6"/>
      <c r="X721" s="6">
        <v>12.116</v>
      </c>
      <c r="Y721" s="6"/>
      <c r="Z721" s="6">
        <v>12.116</v>
      </c>
      <c r="AA721" s="6"/>
      <c r="AB721" s="6">
        <v>12.116</v>
      </c>
      <c r="AC721" s="6"/>
      <c r="AD721" s="6">
        <v>12.116</v>
      </c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>
        <v>15.641999999999999</v>
      </c>
      <c r="AP721" s="6"/>
      <c r="AQ721" s="6">
        <v>22.14</v>
      </c>
    </row>
    <row r="722" spans="1:43" ht="12">
      <c r="A722" s="37" t="s">
        <v>55</v>
      </c>
      <c r="B722" s="1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>
        <v>7.58</v>
      </c>
      <c r="S722" s="6"/>
      <c r="T722" s="6">
        <v>11.759</v>
      </c>
      <c r="U722" s="6"/>
      <c r="V722" s="6"/>
      <c r="W722" s="6"/>
      <c r="X722" s="6">
        <v>11.759</v>
      </c>
      <c r="Y722" s="6"/>
      <c r="Z722" s="6">
        <v>11.759</v>
      </c>
      <c r="AA722" s="6"/>
      <c r="AB722" s="6">
        <v>11.759</v>
      </c>
      <c r="AC722" s="6"/>
      <c r="AD722" s="6">
        <v>11.759</v>
      </c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>
        <v>15.180999999999999</v>
      </c>
      <c r="AP722" s="6"/>
      <c r="AQ722" s="6">
        <v>21.486999999999998</v>
      </c>
    </row>
    <row r="723" spans="1:43" ht="12">
      <c r="A723" s="37" t="s">
        <v>56</v>
      </c>
      <c r="B723" s="14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>
        <v>7.7389999999999999</v>
      </c>
      <c r="S723" s="6"/>
      <c r="T723" s="6">
        <v>12.005000000000001</v>
      </c>
      <c r="U723" s="6"/>
      <c r="V723" s="6"/>
      <c r="W723" s="6"/>
      <c r="X723" s="6">
        <v>12.005000000000001</v>
      </c>
      <c r="Y723" s="6"/>
      <c r="Z723" s="6">
        <v>12.005000000000001</v>
      </c>
      <c r="AA723" s="6"/>
      <c r="AB723" s="6">
        <v>12.005000000000001</v>
      </c>
      <c r="AC723" s="6"/>
      <c r="AD723" s="6">
        <v>12.005000000000001</v>
      </c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>
        <v>15.499000000000001</v>
      </c>
      <c r="AP723" s="6"/>
      <c r="AQ723" s="6">
        <v>21.937999999999999</v>
      </c>
    </row>
    <row r="724" spans="1:43" ht="12">
      <c r="A724" s="37" t="s">
        <v>26</v>
      </c>
      <c r="B724" s="14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>
        <v>10.367000000000001</v>
      </c>
      <c r="S724" s="6"/>
      <c r="T724" s="6">
        <v>16.082999999999998</v>
      </c>
      <c r="U724" s="6"/>
      <c r="V724" s="6"/>
      <c r="W724" s="6"/>
      <c r="X724" s="6">
        <v>16.082999999999998</v>
      </c>
      <c r="Y724" s="6"/>
      <c r="Z724" s="6">
        <v>16.082999999999998</v>
      </c>
      <c r="AA724" s="6"/>
      <c r="AB724" s="6">
        <v>16.082999999999998</v>
      </c>
      <c r="AC724" s="6"/>
      <c r="AD724" s="6">
        <v>16.082999999999998</v>
      </c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>
        <v>20.763999999999999</v>
      </c>
      <c r="AP724" s="6"/>
      <c r="AQ724" s="6">
        <v>29.39</v>
      </c>
    </row>
    <row r="725" spans="1:43" ht="12">
      <c r="A725" s="37" t="s">
        <v>27</v>
      </c>
      <c r="B725" s="14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>
        <v>8.4890000000000008</v>
      </c>
      <c r="S725" s="6"/>
      <c r="T725" s="6">
        <v>13.169</v>
      </c>
      <c r="U725" s="6"/>
      <c r="V725" s="6"/>
      <c r="W725" s="6"/>
      <c r="X725" s="6">
        <v>13.169</v>
      </c>
      <c r="Y725" s="6"/>
      <c r="Z725" s="6">
        <v>13.169</v>
      </c>
      <c r="AA725" s="6"/>
      <c r="AB725" s="6">
        <v>13.169</v>
      </c>
      <c r="AC725" s="6"/>
      <c r="AD725" s="6">
        <v>13.169</v>
      </c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>
        <v>17.001999999999999</v>
      </c>
      <c r="AP725" s="6"/>
      <c r="AQ725" s="6">
        <v>24.065000000000001</v>
      </c>
    </row>
    <row r="726" spans="1:43" ht="12">
      <c r="A726" s="37" t="s">
        <v>57</v>
      </c>
      <c r="B726" s="14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>
        <v>7.8780000000000001</v>
      </c>
      <c r="S726" s="6"/>
      <c r="T726" s="6">
        <v>12.221</v>
      </c>
      <c r="U726" s="6"/>
      <c r="V726" s="6"/>
      <c r="W726" s="6"/>
      <c r="X726" s="6">
        <v>12.221</v>
      </c>
      <c r="Y726" s="6"/>
      <c r="Z726" s="6">
        <v>12.221</v>
      </c>
      <c r="AA726" s="6"/>
      <c r="AB726" s="6">
        <v>12.221</v>
      </c>
      <c r="AC726" s="6"/>
      <c r="AD726" s="6">
        <v>12.221</v>
      </c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>
        <v>15.776999999999999</v>
      </c>
      <c r="AP726" s="6"/>
      <c r="AQ726" s="6">
        <v>22.332000000000001</v>
      </c>
    </row>
    <row r="727" spans="1:43" ht="12">
      <c r="A727" s="37" t="s">
        <v>29</v>
      </c>
      <c r="B727" s="14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>
        <v>7.8029999999999999</v>
      </c>
      <c r="S727" s="6"/>
      <c r="T727" s="6">
        <v>12.11</v>
      </c>
      <c r="U727" s="6"/>
      <c r="V727" s="6"/>
      <c r="W727" s="6"/>
      <c r="X727" s="6">
        <v>12.11</v>
      </c>
      <c r="Y727" s="6"/>
      <c r="Z727" s="6">
        <v>12.11</v>
      </c>
      <c r="AA727" s="6"/>
      <c r="AB727" s="6">
        <v>12.11</v>
      </c>
      <c r="AC727" s="6"/>
      <c r="AD727" s="6">
        <v>12.11</v>
      </c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>
        <v>15.632999999999999</v>
      </c>
      <c r="AP727" s="6"/>
      <c r="AQ727" s="6">
        <v>22.129000000000001</v>
      </c>
    </row>
    <row r="728" spans="1:43" ht="12">
      <c r="A728" s="56" t="s">
        <v>155</v>
      </c>
      <c r="B728" s="33" t="s">
        <v>154</v>
      </c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44">
        <f>SUM(AO729:AO757)</f>
        <v>10914.035999999998</v>
      </c>
      <c r="AP728" s="30"/>
      <c r="AQ728" s="44">
        <f>SUM(AQ729:AQ757)</f>
        <v>9304.4015999999992</v>
      </c>
    </row>
    <row r="729" spans="1:43" ht="12">
      <c r="A729" s="37" t="s">
        <v>21</v>
      </c>
      <c r="B729" s="14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10">
        <f>R699+R669+R639+R609+R272+R214+R184+R311+R354</f>
        <v>58.261000000000003</v>
      </c>
      <c r="S729" s="6"/>
      <c r="T729" s="10">
        <f>T699+T669+T639+T609+T272+T214+T184+T311+T354</f>
        <v>106.54513999999998</v>
      </c>
      <c r="U729" s="6"/>
      <c r="V729" s="6"/>
      <c r="W729" s="6"/>
      <c r="X729" s="10">
        <f>X699+X669+X639+X609+X272+X214+X184+X311+X354</f>
        <v>81.633999999999986</v>
      </c>
      <c r="Y729" s="6"/>
      <c r="Z729" s="10">
        <f>Z699+Z669+Z639+Z609+Z272+Z214+Z184+Z311+Z354</f>
        <v>81.633999999999986</v>
      </c>
      <c r="AA729" s="6"/>
      <c r="AB729" s="10">
        <f>AB699+AB669+AB639+AB609+AB272+AB214+AB184+AB311+AB354</f>
        <v>81.633999999999986</v>
      </c>
      <c r="AC729" s="6"/>
      <c r="AD729" s="10">
        <f>AD699+AD669+AD639+AD609+AD272+AD214+AD184+AD311+AD354</f>
        <v>81.633999999999986</v>
      </c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10">
        <v>110.715</v>
      </c>
      <c r="AP729" s="6"/>
      <c r="AQ729" s="10">
        <v>181.501</v>
      </c>
    </row>
    <row r="730" spans="1:43" ht="12">
      <c r="A730" s="37" t="s">
        <v>43</v>
      </c>
      <c r="B730" s="14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10">
        <f>R700+R670+R640+R610+R273+R215+R185+R38+R147+R166+R244+R355+R412</f>
        <v>131.35899999999998</v>
      </c>
      <c r="S730" s="6"/>
      <c r="T730" s="10" t="e">
        <f>T700+T670+T640+T610+T273+T215+T185+T38+T147+T166+T244+T355+T412</f>
        <v>#REF!</v>
      </c>
      <c r="U730" s="6"/>
      <c r="V730" s="6"/>
      <c r="W730" s="6"/>
      <c r="X730" s="10">
        <f>X700+X670+X640+X610+X273+X215+X185+X38+X147+X166+X244+X355+X412</f>
        <v>76.964000000000013</v>
      </c>
      <c r="Y730" s="6"/>
      <c r="Z730" s="10">
        <f>Z700+Z670+Z640+Z610+Z273+Z215+Z185+Z38+Z147+Z166+Z244+Z355+Z412</f>
        <v>76.734000000000009</v>
      </c>
      <c r="AA730" s="6"/>
      <c r="AB730" s="10">
        <f>AB700+AB670+AB640+AB610+AB273+AB215+AB185+AB38+AB147+AB166+AB244+AB355+AB412</f>
        <v>76.734000000000009</v>
      </c>
      <c r="AC730" s="6"/>
      <c r="AD730" s="10">
        <f>AD700+AD670+AD640+AD610+AD273+AD215+AD185+AD38+AD147+AD166+AD244+AD355+AD412</f>
        <v>76.734000000000009</v>
      </c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10">
        <v>170.874</v>
      </c>
      <c r="AP730" s="6"/>
      <c r="AQ730" s="10">
        <v>251.49600000000001</v>
      </c>
    </row>
    <row r="731" spans="1:43" ht="12">
      <c r="A731" s="37" t="s">
        <v>22</v>
      </c>
      <c r="B731" s="14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10">
        <f>R701+R671+R641+R611+R274+R216+R186+R356</f>
        <v>61.275999999999996</v>
      </c>
      <c r="S731" s="6"/>
      <c r="T731" s="10">
        <f>T701+T671+T641+T611+T274+T216+T186+T356</f>
        <v>95.10990000000001</v>
      </c>
      <c r="U731" s="6"/>
      <c r="V731" s="6"/>
      <c r="W731" s="6"/>
      <c r="X731" s="10">
        <f>X701+X671+X641+X611+X274+X216+X186+X356</f>
        <v>53.61</v>
      </c>
      <c r="Y731" s="6"/>
      <c r="Z731" s="10">
        <f>Z701+Z671+Z641+Z611+Z274+Z216+Z186+Z356</f>
        <v>53.61</v>
      </c>
      <c r="AA731" s="6"/>
      <c r="AB731" s="10">
        <f>AB701+AB671+AB641+AB611+AB274+AB216+AB186+AB356</f>
        <v>53.61</v>
      </c>
      <c r="AC731" s="6"/>
      <c r="AD731" s="10">
        <f>AD701+AD671+AD641+AD611+AD274+AD216+AD186+AD356</f>
        <v>53.61</v>
      </c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10">
        <v>500.26799999999997</v>
      </c>
      <c r="AP731" s="6"/>
      <c r="AQ731" s="10">
        <v>170.21100000000001</v>
      </c>
    </row>
    <row r="732" spans="1:43" ht="12">
      <c r="A732" s="37" t="s">
        <v>44</v>
      </c>
      <c r="B732" s="14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10">
        <f>R702+R672+R642+R612+R275+R217+R187+R40+R331+R338+R341</f>
        <v>167.404</v>
      </c>
      <c r="S732" s="6"/>
      <c r="T732" s="10" t="e">
        <f>T702+T672+T642+T612+T275+T217+T187+T40+T331+T338+T341</f>
        <v>#REF!</v>
      </c>
      <c r="U732" s="6"/>
      <c r="V732" s="6"/>
      <c r="W732" s="6"/>
      <c r="X732" s="10">
        <f>X702+X672+X642+X612+X275+X217+X187+X40+X331+X338+X341</f>
        <v>97.405000000000001</v>
      </c>
      <c r="Y732" s="6"/>
      <c r="Z732" s="10">
        <f>Z702+Z672+Z642+Z612+Z275+Z217+Z187+Z40+Z331+Z338+Z341</f>
        <v>97.405000000000001</v>
      </c>
      <c r="AA732" s="6"/>
      <c r="AB732" s="10">
        <f>AB702+AB672+AB642+AB612+AB275+AB217+AB187+AB40+AB331+AB338+AB341</f>
        <v>97.405000000000001</v>
      </c>
      <c r="AC732" s="6"/>
      <c r="AD732" s="10">
        <f>AD702+AD672+AD642+AD612+AD275+AD217+AD187+AD40+AD331+AD338+AD341</f>
        <v>97.405000000000001</v>
      </c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10">
        <v>623.601</v>
      </c>
      <c r="AP732" s="6"/>
      <c r="AQ732" s="10">
        <f>AQ702+AQ672+AQ582+AQ552+AQ642+AQ612+AQ275+AQ217+AQ187+AQ40+AQ331+AQ338+AQ341+AQ514+AQ482+AQ460+AQ455+AQ432+AQ414+AQ399+AQ312+AQ304+AQ149+AQ138+AQ117+AQ88+AQ59+AQ26</f>
        <v>351.06680000000006</v>
      </c>
    </row>
    <row r="733" spans="1:43" ht="12">
      <c r="A733" s="37" t="s">
        <v>36</v>
      </c>
      <c r="B733" s="14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10" t="e">
        <f>R703+R673+R643+R613+R276+R218+R188+R27+#REF!+R258+#REF!+#REF!+R433+R461</f>
        <v>#REF!</v>
      </c>
      <c r="S733" s="6"/>
      <c r="T733" s="10" t="e">
        <f>T703+T673+T643+T613+T276+T218+T188+T27+#REF!+T258+#REF!+#REF!+T433+T461</f>
        <v>#REF!</v>
      </c>
      <c r="U733" s="6"/>
      <c r="V733" s="6"/>
      <c r="W733" s="6"/>
      <c r="X733" s="10" t="e">
        <f>X703+X673+X643+X613+X276+X218+X188+X27+#REF!+X258+#REF!+#REF!+X433+X461</f>
        <v>#REF!</v>
      </c>
      <c r="Y733" s="6"/>
      <c r="Z733" s="10" t="e">
        <f>Z703+Z673+Z643+Z613+Z276+Z218+Z188+Z27+#REF!+Z258+#REF!+#REF!+Z433+Z461</f>
        <v>#REF!</v>
      </c>
      <c r="AA733" s="6"/>
      <c r="AB733" s="10" t="e">
        <f>AB703+AB673+AB643+AB613+AB276+AB218+AB188+AB27+#REF!+AB258+#REF!+#REF!+AB433+AB461</f>
        <v>#REF!</v>
      </c>
      <c r="AC733" s="6"/>
      <c r="AD733" s="10" t="e">
        <f>AD703+AD673+AD643+AD613+AD276+AD218+AD188+AD27+#REF!+AD258+#REF!+#REF!+AD433+AD461</f>
        <v>#REF!</v>
      </c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10">
        <v>2038.133</v>
      </c>
      <c r="AP733" s="6"/>
      <c r="AQ733" s="10">
        <v>1183.1949999999999</v>
      </c>
    </row>
    <row r="734" spans="1:43" ht="12">
      <c r="A734" s="37" t="s">
        <v>37</v>
      </c>
      <c r="B734" s="14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10">
        <f>R704+R674+R644+R614+R277+R219+R189+R246+R357+R416</f>
        <v>65.084000000000003</v>
      </c>
      <c r="S734" s="6"/>
      <c r="T734" s="10">
        <f>T704+T674+T644+T614+T277+T219+T189+T246+T357+T416</f>
        <v>106.0159</v>
      </c>
      <c r="U734" s="6"/>
      <c r="V734" s="6"/>
      <c r="W734" s="6"/>
      <c r="X734" s="10">
        <f>X704+X674+X644+X614+X277+X219+X189+X246+X357+X416</f>
        <v>53.019999999999996</v>
      </c>
      <c r="Y734" s="6"/>
      <c r="Z734" s="10">
        <f>Z704+Z674+Z644+Z614+Z277+Z219+Z189+Z246+Z357+Z416</f>
        <v>53.019999999999996</v>
      </c>
      <c r="AA734" s="6"/>
      <c r="AB734" s="10">
        <f>AB704+AB674+AB644+AB614+AB277+AB219+AB189+AB246+AB357+AB416</f>
        <v>53.019999999999996</v>
      </c>
      <c r="AC734" s="6"/>
      <c r="AD734" s="10">
        <f>AD704+AD674+AD644+AD614+AD277+AD219+AD189+AD246+AD357+AD416</f>
        <v>53.019999999999996</v>
      </c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10">
        <v>462.38600000000002</v>
      </c>
      <c r="AP734" s="6"/>
      <c r="AQ734" s="10">
        <f>AQ704+AQ674+AQ584+AQ554+AQ644+AQ614+AQ277+AQ219+AQ189+AQ246+AQ357+AQ416+AQ516+AQ484+AQ462+AQ384+AQ259+AQ168+AQ139+AQ118+AQ90+AQ61+AQ42+AQ9</f>
        <v>166.02790000000002</v>
      </c>
    </row>
    <row r="735" spans="1:43" ht="12">
      <c r="A735" s="37" t="s">
        <v>23</v>
      </c>
      <c r="B735" s="14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10">
        <f>R705+R675+R645+R615+R278+R220+R190+R342+R417</f>
        <v>62.302</v>
      </c>
      <c r="S735" s="6"/>
      <c r="T735" s="10">
        <f>T705+T675+T645+T615+T278+T220+T190+T342+T417</f>
        <v>95.519899999999993</v>
      </c>
      <c r="U735" s="6"/>
      <c r="V735" s="6"/>
      <c r="W735" s="6"/>
      <c r="X735" s="10">
        <f>X705+X675+X645+X615+X278+X220+X190+X342+X417</f>
        <v>54.460999999999999</v>
      </c>
      <c r="Y735" s="6"/>
      <c r="Z735" s="10">
        <f>Z705+Z675+Z645+Z615+Z278+Z220+Z190+Z342+Z417</f>
        <v>54.460999999999999</v>
      </c>
      <c r="AA735" s="6"/>
      <c r="AB735" s="10">
        <f>AB705+AB675+AB645+AB615+AB278+AB220+AB190+AB342+AB417</f>
        <v>54.460999999999999</v>
      </c>
      <c r="AC735" s="6"/>
      <c r="AD735" s="10">
        <f>AD705+AD675+AD645+AD615+AD278+AD220+AD190+AD342+AD417</f>
        <v>54.460999999999999</v>
      </c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10">
        <v>150.852</v>
      </c>
      <c r="AP735" s="6"/>
      <c r="AQ735" s="10">
        <v>153.017</v>
      </c>
    </row>
    <row r="736" spans="1:43" ht="12">
      <c r="A736" s="37" t="s">
        <v>38</v>
      </c>
      <c r="B736" s="14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10" t="e">
        <f>R706+R676+R646+R616+R279+R221+R191+#REF!+R169+R248+#REF!+R313+R343+#REF!+R369+R385</f>
        <v>#REF!</v>
      </c>
      <c r="S736" s="6"/>
      <c r="T736" s="10" t="e">
        <f>T706+T676+T646+T616+T279+T221+T191+#REF!+T169+T248+#REF!+T313+T343+#REF!+T369+T385</f>
        <v>#REF!</v>
      </c>
      <c r="U736" s="6"/>
      <c r="V736" s="6"/>
      <c r="W736" s="6"/>
      <c r="X736" s="10" t="e">
        <f>X706+X676+X646+X616+X279+X221+X191+#REF!+X169+X248+#REF!+X313+X343+#REF!+X369+X385</f>
        <v>#REF!</v>
      </c>
      <c r="Y736" s="6"/>
      <c r="Z736" s="10" t="e">
        <f>Z706+Z676+Z646+Z616+Z279+Z221+Z191+#REF!+Z169+Z248+#REF!+Z313+Z343+#REF!+Z369+Z385</f>
        <v>#REF!</v>
      </c>
      <c r="AA736" s="6"/>
      <c r="AB736" s="10" t="e">
        <f>AB706+AB676+AB646+AB616+AB279+AB221+AB191+#REF!+AB169+AB248+#REF!+AB313+AB343+#REF!+AB369+AB385</f>
        <v>#REF!</v>
      </c>
      <c r="AC736" s="6"/>
      <c r="AD736" s="10" t="e">
        <f>AD706+AD676+AD646+AD616+AD279+AD221+AD191+#REF!+AD169+AD248+#REF!+AD313+AD343+#REF!+AD369+AD385</f>
        <v>#REF!</v>
      </c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10">
        <v>376.58800000000002</v>
      </c>
      <c r="AP736" s="6"/>
      <c r="AQ736" s="10">
        <v>1280.1890000000001</v>
      </c>
    </row>
    <row r="737" spans="1:43" ht="12">
      <c r="A737" s="37" t="s">
        <v>45</v>
      </c>
      <c r="B737" s="14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10" t="e">
        <f>R707+R677+R647+R617+R280+R222+R192+#REF!+#REF!</f>
        <v>#REF!</v>
      </c>
      <c r="S737" s="6"/>
      <c r="T737" s="10" t="e">
        <f>T707+T677+T647+T617+T280+T222+T192+#REF!+#REF!</f>
        <v>#REF!</v>
      </c>
      <c r="U737" s="6"/>
      <c r="V737" s="6"/>
      <c r="W737" s="6"/>
      <c r="X737" s="10" t="e">
        <f>X707+X677+X647+X617+X280+X222+X192+#REF!+#REF!</f>
        <v>#REF!</v>
      </c>
      <c r="Y737" s="6"/>
      <c r="Z737" s="10" t="e">
        <f>Z707+Z677+Z647+Z617+Z280+Z222+Z192+#REF!+#REF!</f>
        <v>#REF!</v>
      </c>
      <c r="AA737" s="6"/>
      <c r="AB737" s="10" t="e">
        <f>AB707+AB677+AB647+AB617+AB280+AB222+AB192+#REF!+#REF!</f>
        <v>#REF!</v>
      </c>
      <c r="AC737" s="6"/>
      <c r="AD737" s="10" t="e">
        <f>AD707+AD677+AD647+AD617+AD280+AD222+AD192+#REF!+#REF!</f>
        <v>#REF!</v>
      </c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10">
        <v>132.81200000000001</v>
      </c>
      <c r="AP737" s="6"/>
      <c r="AQ737" s="10">
        <v>197.97300000000001</v>
      </c>
    </row>
    <row r="738" spans="1:43" ht="12">
      <c r="A738" s="37" t="s">
        <v>46</v>
      </c>
      <c r="B738" s="14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10">
        <f>R708+R678+R648+R618+R281+R223+R193+R140+R261+R322+R344+R419</f>
        <v>430.322</v>
      </c>
      <c r="S738" s="6"/>
      <c r="T738" s="10" t="e">
        <f>T708+T678+T648+T618+T281+T223+T193+T140+T261+T322+T344+T419</f>
        <v>#REF!</v>
      </c>
      <c r="U738" s="6"/>
      <c r="V738" s="6"/>
      <c r="W738" s="6"/>
      <c r="X738" s="10">
        <f>X708+X678+X648+X618+X281+X223+X193+X140+X261+X322+X344+X419</f>
        <v>66.210000000000008</v>
      </c>
      <c r="Y738" s="6"/>
      <c r="Z738" s="10">
        <f>Z708+Z678+Z648+Z618+Z281+Z223+Z193+Z140+Z261+Z322+Z344+Z419</f>
        <v>66.210000000000008</v>
      </c>
      <c r="AA738" s="6"/>
      <c r="AB738" s="10">
        <f>AB708+AB678+AB648+AB618+AB281+AB223+AB193+AB140+AB261+AB322+AB344+AB419</f>
        <v>66.210000000000008</v>
      </c>
      <c r="AC738" s="6"/>
      <c r="AD738" s="10">
        <f>AD708+AD678+AD648+AD618+AD281+AD223+AD193+AD140+AD261+AD322+AD344+AD419</f>
        <v>211.28800000000001</v>
      </c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10">
        <v>488.22399999999999</v>
      </c>
      <c r="AP738" s="6"/>
      <c r="AQ738" s="10">
        <f>AQ708+AQ678+AQ648+AQ618+AQ281+AQ223+AQ193+AQ140+AQ261+AQ322+AQ344+AQ419+AQ519+AQ488+AQ387+AQ121+AQ94+AQ65+AQ46+AQ10+AQ588+AQ464+AQ558</f>
        <v>346.53699999999992</v>
      </c>
    </row>
    <row r="739" spans="1:43" ht="12">
      <c r="A739" s="37" t="s">
        <v>24</v>
      </c>
      <c r="B739" s="14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10">
        <f>R709+R679+R649+R619+R282+R224+R194+R29+R141+R153+R171+R314+R465</f>
        <v>418.13099999999997</v>
      </c>
      <c r="S739" s="6"/>
      <c r="T739" s="10" t="e">
        <f>T709+T679+T649+T619+T282+T224+T194+T29+T141+T153+T171+T314+T465</f>
        <v>#REF!</v>
      </c>
      <c r="U739" s="6"/>
      <c r="V739" s="6"/>
      <c r="W739" s="6"/>
      <c r="X739" s="10">
        <f>X709+X679+X649+X619+X282+X224+X194+X29+X141+X153+X171+X314+X465</f>
        <v>160.94600000000003</v>
      </c>
      <c r="Y739" s="6"/>
      <c r="Z739" s="10" t="e">
        <f>Z709+Z679+Z649+Z619+Z282+Z224+Z194+Z29+Z141+Z153+Z171+#REF!+Z465</f>
        <v>#REF!</v>
      </c>
      <c r="AA739" s="6"/>
      <c r="AB739" s="10" t="e">
        <f>AB709+AB679+AB649+AB619+AB282+AB224+AB194+AB29+AB141+AB153+AB171+#REF!+AB465</f>
        <v>#REF!</v>
      </c>
      <c r="AC739" s="6"/>
      <c r="AD739" s="10">
        <f>AD709+AD679+AD649+AD619+AD282+AD224+AD194+AD29+AD141+AD153+AD171+AD314+AD465</f>
        <v>92.984000000000009</v>
      </c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10">
        <v>505.74400000000003</v>
      </c>
      <c r="AP739" s="6"/>
      <c r="AQ739" s="10">
        <v>376.30900000000003</v>
      </c>
    </row>
    <row r="740" spans="1:43" ht="12">
      <c r="A740" s="37" t="s">
        <v>47</v>
      </c>
      <c r="B740" s="14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10">
        <f>R710+R680+R650+R620+R283+R225+R195+R48+R154+R172+R323+R358+R420</f>
        <v>90.566000000000003</v>
      </c>
      <c r="S740" s="6"/>
      <c r="T740" s="10">
        <f>T710+T680+T650+T620+T283+T225+T195+T48+T154+T172+T323+T358+T420</f>
        <v>121.8069</v>
      </c>
      <c r="U740" s="6"/>
      <c r="V740" s="6"/>
      <c r="W740" s="6"/>
      <c r="X740" s="10">
        <f>X710+X680+X650+X620+X283+X225+X195+X48+X154+X172+X323+X358+X420</f>
        <v>75.515999999999991</v>
      </c>
      <c r="Y740" s="6"/>
      <c r="Z740" s="10">
        <f>Z710+Z680+Z650+Z620+Z283+Z225+Z195+Z48+Z154+Z172+Z323+Z358+Z420</f>
        <v>75.515999999999991</v>
      </c>
      <c r="AA740" s="6"/>
      <c r="AB740" s="10">
        <f>AB710+AB680+AB650+AB620+AB283+AB225+AB195+AB48+AB154+AB172+AB323+AB358+AB420</f>
        <v>75.515999999999991</v>
      </c>
      <c r="AC740" s="6"/>
      <c r="AD740" s="10">
        <f>AD710+AD680+AD650+AD620+AD283+AD225+AD195+AD48+AD154+AD172+AD323+AD358+AD420</f>
        <v>75.515999999999991</v>
      </c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10">
        <v>138.58000000000001</v>
      </c>
      <c r="AP740" s="6"/>
      <c r="AQ740" s="10">
        <v>206.785</v>
      </c>
    </row>
    <row r="741" spans="1:43" ht="12">
      <c r="A741" s="37" t="s">
        <v>40</v>
      </c>
      <c r="B741" s="14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10">
        <f>R711+R681+R651+R621+R284+R226+R196+R359+R421</f>
        <v>56.958999999999996</v>
      </c>
      <c r="S741" s="6"/>
      <c r="T741" s="10">
        <f>T711+T681+T651+T621+T284+T226+T196+T359+T421</f>
        <v>120.25489999999999</v>
      </c>
      <c r="U741" s="6"/>
      <c r="V741" s="6"/>
      <c r="W741" s="6"/>
      <c r="X741" s="10">
        <f>X711+X681+X651+X621+X284+X226+X196+X359+X421</f>
        <v>79.135999999999996</v>
      </c>
      <c r="Y741" s="6"/>
      <c r="Z741" s="10">
        <f>Z711+Z681+Z651+Z621+Z284+Z226+Z196+Z359+Z421</f>
        <v>79.135999999999996</v>
      </c>
      <c r="AA741" s="6"/>
      <c r="AB741" s="10">
        <f>AB711+AB681+AB651+AB621+AB284+AB226+AB196+AB359+AB421</f>
        <v>79.135999999999996</v>
      </c>
      <c r="AC741" s="6"/>
      <c r="AD741" s="10">
        <f>AD711+AD681+AD651+AD621+AD284+AD226+AD196+AD359+AD421</f>
        <v>79.135999999999996</v>
      </c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10">
        <v>118.02800000000001</v>
      </c>
      <c r="AP741" s="6"/>
      <c r="AQ741" s="10">
        <v>192.93199999999999</v>
      </c>
    </row>
    <row r="742" spans="1:43" ht="12">
      <c r="A742" s="37" t="s">
        <v>48</v>
      </c>
      <c r="B742" s="14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10">
        <f>R712+R682+R652+R622+R285+R227+R197+R315+R324+R360</f>
        <v>46.877999999999993</v>
      </c>
      <c r="S742" s="6"/>
      <c r="T742" s="10">
        <f>T712+T682+T652+T622+T285+T227+T197+T315+T324+T360</f>
        <v>81.208139999999986</v>
      </c>
      <c r="U742" s="6"/>
      <c r="V742" s="6"/>
      <c r="W742" s="6"/>
      <c r="X742" s="10">
        <f>X712+X682+X652+X622+X285+X227+X197+X315+X324+X360</f>
        <v>55.373999999999995</v>
      </c>
      <c r="Y742" s="6"/>
      <c r="Z742" s="10">
        <f>Z712+Z682+Z652+Z622+Z285+Z227+Z197+Z315+Z324+Z360</f>
        <v>55.373999999999995</v>
      </c>
      <c r="AA742" s="6"/>
      <c r="AB742" s="10">
        <f>AB712+AB682+AB652+AB622+AB285+AB227+AB197+AB315+AB324+AB360</f>
        <v>55.373999999999995</v>
      </c>
      <c r="AC742" s="6"/>
      <c r="AD742" s="10">
        <f>AD712+AD682+AD652+AD622+AD285+AD227+AD197+AD315+AD324+AD360</f>
        <v>55.387999999999998</v>
      </c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10">
        <v>165.381</v>
      </c>
      <c r="AP742" s="6"/>
      <c r="AQ742" s="10">
        <v>630.86099999999999</v>
      </c>
    </row>
    <row r="743" spans="1:43" ht="12">
      <c r="A743" s="37" t="s">
        <v>41</v>
      </c>
      <c r="B743" s="14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10">
        <f>R713+R683+R653+R623+R286+R228+R198+R156+R175+R263</f>
        <v>57.383000000000003</v>
      </c>
      <c r="S743" s="6"/>
      <c r="T743" s="10" t="e">
        <f>T713+T683+T653+T623+T286+T228+T198+T156+T175+T263</f>
        <v>#REF!</v>
      </c>
      <c r="U743" s="6"/>
      <c r="V743" s="6"/>
      <c r="W743" s="6"/>
      <c r="X743" s="10">
        <f>X713+X683+X653+X623+X286+X228+X198+X156+X175+X263</f>
        <v>50.808999999999997</v>
      </c>
      <c r="Y743" s="6"/>
      <c r="Z743" s="10">
        <f>Z713+Z683+Z653+Z623+Z286+Z228+Z198+Z156+Z175+Z263</f>
        <v>50.808999999999997</v>
      </c>
      <c r="AA743" s="6"/>
      <c r="AB743" s="10">
        <f>AB713+AB683+AB653+AB623+AB286+AB228+AB198+AB156+AB175+AB263</f>
        <v>50.808999999999997</v>
      </c>
      <c r="AC743" s="6"/>
      <c r="AD743" s="10">
        <f>AD713+AD683+AD653+AD623+AD286+AD228+AD198+AD156+AD175+AD263</f>
        <v>50.808999999999997</v>
      </c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10">
        <v>95.305999999999997</v>
      </c>
      <c r="AP743" s="6"/>
      <c r="AQ743" s="10">
        <v>135.13499999999999</v>
      </c>
    </row>
    <row r="744" spans="1:43" ht="12">
      <c r="A744" s="37" t="s">
        <v>49</v>
      </c>
      <c r="B744" s="14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10">
        <f>R714+R684+R654+R624+R287+R229+R199+R316+R436+R547</f>
        <v>43.213000000000001</v>
      </c>
      <c r="S744" s="6"/>
      <c r="T744" s="10">
        <f>T714+T684+T654+T624+T287+T229+T199+T316+T436+T547</f>
        <v>75.263139999999993</v>
      </c>
      <c r="U744" s="6"/>
      <c r="V744" s="6"/>
      <c r="W744" s="6"/>
      <c r="X744" s="10">
        <f>X714+X684+X654+X624+X287+X229+X199+X316+X436+X547</f>
        <v>46.567999999999998</v>
      </c>
      <c r="Y744" s="6"/>
      <c r="Z744" s="10">
        <f>Z714+Z684+Z654+Z624+Z287+Z229+Z199+Z316+Z436+Z547</f>
        <v>46.567999999999998</v>
      </c>
      <c r="AA744" s="6"/>
      <c r="AB744" s="10">
        <f>AB714+AB684+AB654+AB624+AB287+AB229+AB199+AB316+AB436+AB547</f>
        <v>46.567999999999998</v>
      </c>
      <c r="AC744" s="6"/>
      <c r="AD744" s="10">
        <f>AD714+AD684+AD654+AD624+AD287+AD229+AD199+AD316+AD436+AD547</f>
        <v>46.567999999999998</v>
      </c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10">
        <v>417.78800000000001</v>
      </c>
      <c r="AP744" s="6"/>
      <c r="AQ744" s="10">
        <v>136.73599999999999</v>
      </c>
    </row>
    <row r="745" spans="1:43" ht="12">
      <c r="A745" s="37" t="s">
        <v>50</v>
      </c>
      <c r="B745" s="14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10" t="e">
        <f>R715+R685+R655+R625+R288+R230+R200+R345+#REF!</f>
        <v>#REF!</v>
      </c>
      <c r="S745" s="6"/>
      <c r="T745" s="10" t="e">
        <f>T715+T685+T655+T625+T288+T230+T200+T345+#REF!</f>
        <v>#REF!</v>
      </c>
      <c r="U745" s="6"/>
      <c r="V745" s="6"/>
      <c r="W745" s="6"/>
      <c r="X745" s="10" t="e">
        <f>X715+X685+X655+X625+X288+X230+X200+X345+#REF!</f>
        <v>#REF!</v>
      </c>
      <c r="Y745" s="6"/>
      <c r="Z745" s="10" t="e">
        <f>Z715+Z685+Z655+Z625+Z288+Z230+Z200+Z345+#REF!</f>
        <v>#REF!</v>
      </c>
      <c r="AA745" s="6"/>
      <c r="AB745" s="10" t="e">
        <f>AB715+AB685+AB655+AB625+AB288+AB230+AB200+AB345+#REF!</f>
        <v>#REF!</v>
      </c>
      <c r="AC745" s="6"/>
      <c r="AD745" s="10" t="e">
        <f>AD715+AD685+AD655+AD625+AD288+AD230+AD200+AD345+#REF!</f>
        <v>#REF!</v>
      </c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10">
        <v>959.62800000000004</v>
      </c>
      <c r="AP745" s="6"/>
      <c r="AQ745" s="10">
        <f>AQ715+AQ685+AQ655+AQ625+AQ288+AQ230+AQ200+AQ345+AQ520+AQ495+AQ445+AQ390+AQ372+AQ332+AQ264+AQ126+AQ101+AQ72+AQ12+AQ595+AQ565</f>
        <v>167.54599999999996</v>
      </c>
    </row>
    <row r="746" spans="1:43" ht="12">
      <c r="A746" s="37" t="s">
        <v>25</v>
      </c>
      <c r="B746" s="14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10">
        <f>R716+R686+R656+R626+R289+R231+R201+R327+R346+R422+R541</f>
        <v>34.957999999999998</v>
      </c>
      <c r="S746" s="6"/>
      <c r="T746" s="10">
        <f>T716+T686+T656+T626+T289+T231+T201+T327+T346+T422+T541</f>
        <v>53.515999999999998</v>
      </c>
      <c r="U746" s="6"/>
      <c r="V746" s="6"/>
      <c r="W746" s="6"/>
      <c r="X746" s="10">
        <f>X716+X686+X656+X626+X289+X231+X201+X327+X346+X422+X541</f>
        <v>52.338999999999992</v>
      </c>
      <c r="Y746" s="6"/>
      <c r="Z746" s="10">
        <f>Z716+Z686+Z656+Z626+Z289+Z231+Z201+Z327+Z346+Z422+Z541</f>
        <v>52.189</v>
      </c>
      <c r="AA746" s="6"/>
      <c r="AB746" s="10">
        <f>AB716+AB686+AB656+AB626+AB289+AB231+AB201+AB327+AB346+AB422+AB541</f>
        <v>52.189</v>
      </c>
      <c r="AC746" s="6"/>
      <c r="AD746" s="10">
        <f>AD716+AD686+AD656+AD626+AD289+AD231+AD201+AD327+AD346+AD422+AD541</f>
        <v>52.189</v>
      </c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10">
        <v>163.55000000000001</v>
      </c>
      <c r="AP746" s="6"/>
      <c r="AQ746" s="10">
        <v>151.017</v>
      </c>
    </row>
    <row r="747" spans="1:43" ht="12">
      <c r="A747" s="37" t="s">
        <v>51</v>
      </c>
      <c r="B747" s="14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10" t="e">
        <f>R717+R687+R657+R627+R290+R232+R202+R31+R157+#REF!+R361+R373+R423+R443+R468</f>
        <v>#REF!</v>
      </c>
      <c r="S747" s="6"/>
      <c r="T747" s="10" t="e">
        <f>T717+T687+T657+T627+T290+T232+T202+T31+T157+#REF!+T361+T373+T423+T443+T468</f>
        <v>#REF!</v>
      </c>
      <c r="U747" s="6"/>
      <c r="V747" s="6"/>
      <c r="W747" s="6"/>
      <c r="X747" s="10" t="e">
        <f>X717+X687+X657+X627+X290+X232+X202+X31+X157+#REF!+X361+X373+X423+X443+X468</f>
        <v>#REF!</v>
      </c>
      <c r="Y747" s="6"/>
      <c r="Z747" s="10" t="e">
        <f>Z717+Z687+Z657+Z627+Z290+Z232+Z202+Z31+Z157+#REF!+Z361+Z373+Z423+Z443+Z468</f>
        <v>#REF!</v>
      </c>
      <c r="AA747" s="6"/>
      <c r="AB747" s="10" t="e">
        <f>AB717+AB687+AB657+AB627+AB290+AB232+AB202+AB31+AB157+#REF!+AB361+AB373+AB423+AB443+AB468</f>
        <v>#REF!</v>
      </c>
      <c r="AC747" s="6"/>
      <c r="AD747" s="10" t="e">
        <f>AD717+AD687+AD657+AD627+AD290+AD232+AD202+AD31+AD157+#REF!+AD361+AD373+AD423+AD443+AD468</f>
        <v>#REF!</v>
      </c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10">
        <v>1532.0419999999999</v>
      </c>
      <c r="AP747" s="6"/>
      <c r="AQ747" s="10">
        <v>605.01900000000001</v>
      </c>
    </row>
    <row r="748" spans="1:43" ht="12">
      <c r="A748" s="37" t="s">
        <v>52</v>
      </c>
      <c r="B748" s="14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10">
        <f>R718+R688+R658+R628+R291+R233+R203+R177+R267+R362+R424</f>
        <v>219.37300000000002</v>
      </c>
      <c r="S748" s="6"/>
      <c r="T748" s="10" t="e">
        <f>T718+T688+T658+T628+T291+T233+T203+T177+T267+T362+T424</f>
        <v>#REF!</v>
      </c>
      <c r="U748" s="6"/>
      <c r="V748" s="6"/>
      <c r="W748" s="6"/>
      <c r="X748" s="10">
        <f>X718+X688+X658+X628+X291+X233+X203+X177+X267+X362+X424</f>
        <v>174.21899999999999</v>
      </c>
      <c r="Y748" s="6"/>
      <c r="Z748" s="10">
        <f>Z718+Z688+Z658+Z628+Z291+Z233+Z203+Z177+Z267+Z362+Z424</f>
        <v>174.01900000000001</v>
      </c>
      <c r="AA748" s="6"/>
      <c r="AB748" s="10">
        <f>AB718+AB688+AB658+AB628+AB291+AB233+AB203+AB177+AB267+AB362+AB424</f>
        <v>174.01900000000001</v>
      </c>
      <c r="AC748" s="6"/>
      <c r="AD748" s="10">
        <f>AD718+AD688+AD658+AD628+AD291+AD233+AD203+AD177+AD267+AD362+AD424</f>
        <v>174.01900000000001</v>
      </c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10">
        <v>435.62200000000001</v>
      </c>
      <c r="AP748" s="6"/>
      <c r="AQ748" s="10">
        <v>482.827</v>
      </c>
    </row>
    <row r="749" spans="1:43" ht="12">
      <c r="A749" s="37" t="s">
        <v>18</v>
      </c>
      <c r="B749" s="14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10" t="e">
        <f>R719+R689+R659+R629+R292+R234+R204+R145+#REF!+R268+R347+R363</f>
        <v>#REF!</v>
      </c>
      <c r="S749" s="6"/>
      <c r="T749" s="10" t="e">
        <f>T719+T689+T659+T629+T292+T234+T204+T145+#REF!+T268+T347+T363</f>
        <v>#REF!</v>
      </c>
      <c r="U749" s="6"/>
      <c r="V749" s="6"/>
      <c r="W749" s="6"/>
      <c r="X749" s="10" t="e">
        <f>X719+X689+X659+X629+X292+X234+X204+X145+#REF!+X268+X347+X363</f>
        <v>#REF!</v>
      </c>
      <c r="Y749" s="6"/>
      <c r="Z749" s="10" t="e">
        <f>Z719+Z689+Z659+Z629+Z292+Z234+Z204+Z145+#REF!+Z268+Z347+Z363</f>
        <v>#REF!</v>
      </c>
      <c r="AA749" s="6"/>
      <c r="AB749" s="10" t="e">
        <f>AB719+AB689+AB659+AB629+AB292+AB234+AB204+AB145+#REF!+AB268+AB347+AB363</f>
        <v>#REF!</v>
      </c>
      <c r="AC749" s="6"/>
      <c r="AD749" s="10" t="e">
        <f>AD719+AD689+AD659+AD629+AD292+AD234+AD204+AD145+#REF!+AD268+AD347+AD363</f>
        <v>#REF!</v>
      </c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10">
        <v>299.97899999999998</v>
      </c>
      <c r="AP749" s="6"/>
      <c r="AQ749" s="10">
        <v>312.68</v>
      </c>
    </row>
    <row r="750" spans="1:43" ht="12">
      <c r="A750" s="37" t="s">
        <v>53</v>
      </c>
      <c r="B750" s="14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10">
        <f>R720+R690+R660+R630+R293+R235+R205+R32+R159+R269+R364+R471</f>
        <v>127.18299999999998</v>
      </c>
      <c r="S750" s="6"/>
      <c r="T750" s="10" t="e">
        <f>T720+T690+T660+T630+T293+T235+T205+T32+T159+T269+T364+T471</f>
        <v>#REF!</v>
      </c>
      <c r="U750" s="6"/>
      <c r="V750" s="6"/>
      <c r="W750" s="6"/>
      <c r="X750" s="10">
        <f>X720+X690+X660+X630+X293+X235+X205+X32+X159+X269+X364+X471</f>
        <v>111.276</v>
      </c>
      <c r="Y750" s="6"/>
      <c r="Z750" s="10">
        <f>Z720+Z690+Z660+Z630+Z293+Z235+Z205+Z32+Z159+Z269+Z364+Z471</f>
        <v>111.276</v>
      </c>
      <c r="AA750" s="6"/>
      <c r="AB750" s="10">
        <f>AB720+AB690+AB660+AB630+AB293+AB235+AB205+AB32+AB159+AB269+AB364+AB471</f>
        <v>111.276</v>
      </c>
      <c r="AC750" s="6"/>
      <c r="AD750" s="10">
        <f>AD720+AD690+AD660+AD630+AD293+AD235+AD205+AD32+AD159+AD269+AD364+AD471</f>
        <v>111.276</v>
      </c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10">
        <v>209.114</v>
      </c>
      <c r="AP750" s="6"/>
      <c r="AQ750" s="10">
        <v>434.89299999999997</v>
      </c>
    </row>
    <row r="751" spans="1:43" ht="12">
      <c r="A751" s="37" t="s">
        <v>54</v>
      </c>
      <c r="B751" s="14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10">
        <f>R721+R691+R661+R631+R294+R236+R206+R160+R365+R427</f>
        <v>63.621000000000002</v>
      </c>
      <c r="S751" s="6"/>
      <c r="T751" s="10">
        <f>T721+T691+T661+T631+T294+T236+T206+T160+T365+T427</f>
        <v>92.000900000000001</v>
      </c>
      <c r="U751" s="6"/>
      <c r="V751" s="6"/>
      <c r="W751" s="6"/>
      <c r="X751" s="10">
        <f>X721+X691+X661+X631+X294+X236+X206+X160+X365+X427</f>
        <v>50.475000000000001</v>
      </c>
      <c r="Y751" s="6"/>
      <c r="Z751" s="10">
        <f>Z721+Z691+Z661+Z631+Z294+Z236+Z206+Z160+Z365+Z427</f>
        <v>50.475000000000001</v>
      </c>
      <c r="AA751" s="6"/>
      <c r="AB751" s="10">
        <f>AB721+AB691+AB661+AB631+AB294+AB236+AB206+AB160+AB365+AB427</f>
        <v>50.475000000000001</v>
      </c>
      <c r="AC751" s="6"/>
      <c r="AD751" s="10">
        <f>AD721+AD691+AD661+AD631+AD294+AD236+AD206+AD160+AD365+AD427</f>
        <v>50.475000000000001</v>
      </c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10">
        <f>AO721+AO691+AO661+AO631+AO294+AO236+AO206+AO160+AO365+AO427+AO524+AO501+AO408+AO129+AO107+AO77+AO601+AO571</f>
        <v>117.13400000000001</v>
      </c>
      <c r="AP751" s="6"/>
      <c r="AQ751" s="10">
        <v>135.59899999999999</v>
      </c>
    </row>
    <row r="752" spans="1:43" ht="12">
      <c r="A752" s="37" t="s">
        <v>55</v>
      </c>
      <c r="B752" s="14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10">
        <f>R722+R692+R662+R632+R295+R237+R207+R428</f>
        <v>60.472000000000001</v>
      </c>
      <c r="S752" s="6"/>
      <c r="T752" s="10">
        <f>T722+T692+T662+T632+T295+T237+T207+T428</f>
        <v>89.914900000000003</v>
      </c>
      <c r="U752" s="6"/>
      <c r="V752" s="6"/>
      <c r="W752" s="6"/>
      <c r="X752" s="10">
        <f>X722+X692+X662+X632+X295+X237+X207+X428</f>
        <v>48.986000000000004</v>
      </c>
      <c r="Y752" s="6"/>
      <c r="Z752" s="10">
        <f>Z722+Z692+Z662+Z632+Z295+Z237+Z207+Z428</f>
        <v>48.986000000000004</v>
      </c>
      <c r="AA752" s="6"/>
      <c r="AB752" s="10">
        <f>AB722+AB692+AB662+AB632+AB295+AB237+AB207+AB428</f>
        <v>48.986000000000004</v>
      </c>
      <c r="AC752" s="6"/>
      <c r="AD752" s="10">
        <f>AD722+AD692+AD662+AD632+AD295+AD237+AD207+AD428</f>
        <v>48.986000000000004</v>
      </c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10">
        <v>114.628</v>
      </c>
      <c r="AP752" s="6"/>
      <c r="AQ752" s="10">
        <v>137.369</v>
      </c>
    </row>
    <row r="753" spans="1:43" ht="12">
      <c r="A753" s="37" t="s">
        <v>56</v>
      </c>
      <c r="B753" s="14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10">
        <f>R723+R693+R663+R633+R296+R238+R208+R162</f>
        <v>69.474999999999994</v>
      </c>
      <c r="S753" s="6"/>
      <c r="T753" s="10">
        <f>T723+T693+T663+T633+T296+T238+T208+T162</f>
        <v>91.150900000000007</v>
      </c>
      <c r="U753" s="6"/>
      <c r="V753" s="6"/>
      <c r="W753" s="6"/>
      <c r="X753" s="10">
        <f>X723+X693+X663+X633+X296+X238+X208+X162</f>
        <v>50.014000000000003</v>
      </c>
      <c r="Y753" s="6"/>
      <c r="Z753" s="10">
        <f>Z723+Z693+Z663+Z633+Z296+Z238+Z208+Z162</f>
        <v>50.014000000000003</v>
      </c>
      <c r="AA753" s="6"/>
      <c r="AB753" s="10">
        <f>AB723+AB693+AB663+AB633+AB296+AB238+AB208+AB162</f>
        <v>50.014000000000003</v>
      </c>
      <c r="AC753" s="6"/>
      <c r="AD753" s="10">
        <f>AD723+AD693+AD663+AD633+AD296+AD238+AD208+AD162</f>
        <v>50.014000000000003</v>
      </c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10">
        <f>AO723+AO693+AO663+AO633+AO296+AO238+AO208+AO162+AO503+AO472+AO410+AO254+AO180+AO131+AO109+AO79+AO14+AO603+AO573</f>
        <v>144.23899999999998</v>
      </c>
      <c r="AP753" s="6"/>
      <c r="AQ753" s="10">
        <f>AQ723+AQ693+AQ663+AQ633+AQ296+AQ238+AQ208+AQ162+AQ503+AQ472+AQ410+AQ254+AQ180+AQ131+AQ109+AQ79+AQ14+AQ603+AQ573</f>
        <v>167.2159</v>
      </c>
    </row>
    <row r="754" spans="1:43" ht="12">
      <c r="A754" s="37" t="s">
        <v>26</v>
      </c>
      <c r="B754" s="14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10">
        <f>R724+R694+R664+R634+R297+R239+R209+R33+R35+R317+R349+R366+R394+R429</f>
        <v>83.790999999999997</v>
      </c>
      <c r="S754" s="6"/>
      <c r="T754" s="10" t="e">
        <f>T724+T694+T664+T634+T297+T239+T209+T33+T35+T317+T349+T366+T394+T429</f>
        <v>#REF!</v>
      </c>
      <c r="U754" s="6"/>
      <c r="V754" s="6"/>
      <c r="W754" s="6"/>
      <c r="X754" s="10">
        <f>X724+X694+X664+X634+X297+X239+X209+X33+X35+X317+X349+X366+X394+X429</f>
        <v>67.003</v>
      </c>
      <c r="Y754" s="6"/>
      <c r="Z754" s="10">
        <f>Z724+Z694+Z664+Z634+Z297+Z239+Z209+Z33+Z35+Z317+Z349+Z366+Z394+Z429</f>
        <v>68.602999999999994</v>
      </c>
      <c r="AA754" s="6"/>
      <c r="AB754" s="10">
        <f>AB724+AB694+AB664+AB634+AB297+AB239+AB209+AB33+AB35+AB317+AB349+AB366+AB394+AB429</f>
        <v>68.602999999999994</v>
      </c>
      <c r="AC754" s="6"/>
      <c r="AD754" s="10">
        <f>AD724+AD694+AD664+AD634+AD297+AD239+AD209+AD33+AD35+AD317+AD349+AD366+AD394+AD429</f>
        <v>67.003</v>
      </c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10">
        <v>163.91900000000001</v>
      </c>
      <c r="AP754" s="6"/>
      <c r="AQ754" s="10">
        <v>252.22</v>
      </c>
    </row>
    <row r="755" spans="1:43" ht="12">
      <c r="A755" s="37" t="s">
        <v>27</v>
      </c>
      <c r="B755" s="14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10">
        <f>R725+R695+R665+R635+R298+R240+R210+R164+R182+R270+R350+R438+R545</f>
        <v>36.624000000000002</v>
      </c>
      <c r="S755" s="6"/>
      <c r="T755" s="10">
        <f>T725+T695+T665+T635+T298+T240+T210+T164+T182+T270+T350+T438+T545</f>
        <v>59.498000000000005</v>
      </c>
      <c r="U755" s="6"/>
      <c r="V755" s="6"/>
      <c r="W755" s="6"/>
      <c r="X755" s="10">
        <f>X725+X695+X665+X635+X298+X240+X210+X164+X182+X270+X350+X438+X545</f>
        <v>55.011999999999993</v>
      </c>
      <c r="Y755" s="6"/>
      <c r="Z755" s="10">
        <f>Z725+Z695+Z665+Z635+Z298+Z240+Z210+Z164+Z182+Z270+Z350+Z438+Z545</f>
        <v>54.862000000000002</v>
      </c>
      <c r="AA755" s="6"/>
      <c r="AB755" s="10">
        <f>AB725+AB695+AB665+AB635+AB298+AB240+AB210+AB164+AB182+AB270+AB350+AB438+AB545</f>
        <v>54.862000000000002</v>
      </c>
      <c r="AC755" s="6"/>
      <c r="AD755" s="10">
        <f>AD725+AD695+AD665+AD635+AD298+AD240+AD210+AD164+AD182+AD270+AD350+AD438+AD545</f>
        <v>54.862000000000002</v>
      </c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10">
        <v>64.097999999999999</v>
      </c>
      <c r="AP755" s="6"/>
      <c r="AQ755" s="10">
        <f>AQ725+AQ695+AQ665+AQ635+AQ298+AQ240+AQ210+AQ164+AQ182+AQ270+AQ350+AQ438+AQ545+AQ526+AQ510+AQ505+AQ474+AQ451+AQ447+AQ404+AQ532+AQ605+AQ575+AQ395+AQ334+AQ328+AQ309+AQ255+AQ133+AQ111+AQ81</f>
        <v>192.60199999999998</v>
      </c>
    </row>
    <row r="756" spans="1:43" ht="12">
      <c r="A756" s="37" t="s">
        <v>57</v>
      </c>
      <c r="B756" s="14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10">
        <f>R726+R696+R666+R636+R299+R241+R211+R351</f>
        <v>31.902999999999999</v>
      </c>
      <c r="S756" s="6"/>
      <c r="T756" s="10">
        <f>T726+T696+T666+T636+T299+T241+T211+T351</f>
        <v>51.890999999999998</v>
      </c>
      <c r="U756" s="6"/>
      <c r="V756" s="6"/>
      <c r="W756" s="6"/>
      <c r="X756" s="10">
        <f>X726+X696+X666+X636+X299+X241+X211+X351</f>
        <v>51.063999999999993</v>
      </c>
      <c r="Y756" s="6"/>
      <c r="Z756" s="10">
        <f>Z726+Z696+Z666+Z636+Z299+Z241+Z211+Z351</f>
        <v>50.914000000000001</v>
      </c>
      <c r="AA756" s="6"/>
      <c r="AB756" s="10">
        <f>AB726+AB696+AB666+AB636+AB299+AB241+AB211+AB351</f>
        <v>50.914000000000001</v>
      </c>
      <c r="AC756" s="6"/>
      <c r="AD756" s="10">
        <f>AD726+AD696+AD666+AD636+AD299+AD241+AD211+AD351</f>
        <v>50.914000000000001</v>
      </c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10">
        <v>55.378</v>
      </c>
      <c r="AP756" s="6"/>
      <c r="AQ756" s="10">
        <f>AQ726+AQ696+AQ666+AQ636+AQ299+AQ241+AQ211+AQ351+AQ527+AQ506+AQ475+AQ396+AQ335+AQ134+AQ112+AQ82+AQ54+AQ606+AQ576+AQ448</f>
        <v>154.80899999999997</v>
      </c>
    </row>
    <row r="757" spans="1:43" ht="12">
      <c r="A757" s="37" t="s">
        <v>29</v>
      </c>
      <c r="B757" s="14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10">
        <f>R727+R697+R667+R637+R300+R242+R212+R318+R329+R352+R367+R449</f>
        <v>134.119</v>
      </c>
      <c r="S757" s="6"/>
      <c r="T757" s="10">
        <f>T727+T697+T667+T637+T300+T242+T212+T318+T329+T352+T367+T449</f>
        <v>59.013000000000005</v>
      </c>
      <c r="U757" s="6"/>
      <c r="V757" s="6"/>
      <c r="W757" s="6"/>
      <c r="X757" s="10">
        <f>X727+X697+X667+X637+X300+X242+X212+X318+X329+X352+X367+X449</f>
        <v>50.597999999999992</v>
      </c>
      <c r="Y757" s="6"/>
      <c r="Z757" s="10">
        <f>Z727+Z697+Z667+Z637+Z300+Z242+Z212+Z318+Z329+Z352+Z367+Z449</f>
        <v>50.493000000000002</v>
      </c>
      <c r="AA757" s="6"/>
      <c r="AB757" s="10">
        <f>AB727+AB697+AB667+AB637+AB300+AB242+AB212+AB318+AB329+AB352+AB367+AB449</f>
        <v>50.448</v>
      </c>
      <c r="AC757" s="6"/>
      <c r="AD757" s="10">
        <f>AD727+AD697+AD667+AD637+AD300+AD242+AD212+AD318+AD329+AD352+AD367+AD449</f>
        <v>50.448</v>
      </c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10">
        <v>159.42500000000001</v>
      </c>
      <c r="AP757" s="6"/>
      <c r="AQ757" s="10">
        <f>AQ727+AQ697+AQ667+AQ637+AQ300+AQ242+AQ212+AQ318+AQ329+AQ352+AQ367+AQ449+AQ528+AQ507+AQ452+AQ397+AQ336+AQ256+AQ135+AQ607+AQ577+AQ113+AQ83</f>
        <v>150.63299999999995</v>
      </c>
    </row>
    <row r="759" spans="1:43">
      <c r="AO759" s="18"/>
    </row>
  </sheetData>
  <mergeCells count="42">
    <mergeCell ref="AH4:AH6"/>
    <mergeCell ref="AI4:AI6"/>
    <mergeCell ref="AJ4:AJ6"/>
    <mergeCell ref="AK4:AK6"/>
    <mergeCell ref="AL4:AL6"/>
    <mergeCell ref="N4:N6"/>
    <mergeCell ref="O4:O6"/>
    <mergeCell ref="P4:P6"/>
    <mergeCell ref="Q4:Q6"/>
    <mergeCell ref="AG4:AG6"/>
    <mergeCell ref="S4:S6"/>
    <mergeCell ref="T4:T6"/>
    <mergeCell ref="W4:W6"/>
    <mergeCell ref="X4:X6"/>
    <mergeCell ref="Y4:Y6"/>
    <mergeCell ref="Z4:Z6"/>
    <mergeCell ref="AA4:AA6"/>
    <mergeCell ref="AB4:AB6"/>
    <mergeCell ref="AC4:AC6"/>
    <mergeCell ref="AD4:AD6"/>
    <mergeCell ref="AF4:AF6"/>
    <mergeCell ref="I4:I6"/>
    <mergeCell ref="J4:J6"/>
    <mergeCell ref="K4:K6"/>
    <mergeCell ref="L4:L6"/>
    <mergeCell ref="M4:M6"/>
    <mergeCell ref="A2:AQ2"/>
    <mergeCell ref="F4:F6"/>
    <mergeCell ref="AN4:AO4"/>
    <mergeCell ref="AP4:AQ4"/>
    <mergeCell ref="AN5:AN6"/>
    <mergeCell ref="AO5:AO6"/>
    <mergeCell ref="AP5:AP6"/>
    <mergeCell ref="AQ5:AQ6"/>
    <mergeCell ref="A4:A6"/>
    <mergeCell ref="B4:B6"/>
    <mergeCell ref="C4:C6"/>
    <mergeCell ref="D4:D6"/>
    <mergeCell ref="E4:E6"/>
    <mergeCell ref="R4:R6"/>
    <mergeCell ref="G4:G6"/>
    <mergeCell ref="H4:H6"/>
  </mergeCells>
  <pageMargins left="0.75" right="0.75" top="0.24" bottom="0.17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Malzeva</cp:lastModifiedBy>
  <dcterms:created xsi:type="dcterms:W3CDTF">2013-08-06T10:46:59Z</dcterms:created>
  <dcterms:modified xsi:type="dcterms:W3CDTF">2013-08-20T08:47:43Z</dcterms:modified>
</cp:coreProperties>
</file>