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15" windowHeight="5895"/>
  </bookViews>
  <sheets>
    <sheet name="сводная" sheetId="10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R95" i="10"/>
  <c r="AC95"/>
  <c r="AD95" s="1"/>
  <c r="AB95"/>
  <c r="Z95"/>
  <c r="AA95" s="1"/>
  <c r="Y95"/>
  <c r="AD94"/>
  <c r="AA94"/>
  <c r="AD93"/>
  <c r="AA93"/>
  <c r="AD92"/>
  <c r="AA92"/>
  <c r="AD91"/>
  <c r="AA91"/>
  <c r="AD90"/>
  <c r="AA90"/>
  <c r="AD89"/>
  <c r="AA89"/>
  <c r="AD88"/>
  <c r="AA88"/>
  <c r="AD87"/>
  <c r="AA87"/>
  <c r="AD86"/>
  <c r="AA86"/>
  <c r="AD85"/>
  <c r="AA85"/>
  <c r="AD84"/>
  <c r="AA84"/>
  <c r="AD83"/>
  <c r="AA83"/>
  <c r="AD82"/>
  <c r="AA82"/>
  <c r="AD81"/>
  <c r="AA81"/>
  <c r="AD80"/>
  <c r="AA80"/>
  <c r="AD79"/>
  <c r="AA79"/>
  <c r="AD78"/>
  <c r="AA78"/>
  <c r="AD77"/>
  <c r="AA77"/>
  <c r="AD76"/>
  <c r="AA76"/>
  <c r="AD75"/>
  <c r="AA75"/>
  <c r="AD74"/>
  <c r="AA74"/>
  <c r="AD73"/>
  <c r="AA73"/>
  <c r="AD72"/>
  <c r="AA72"/>
  <c r="AD71"/>
  <c r="AA71"/>
  <c r="AD70"/>
  <c r="AA70"/>
  <c r="AD69"/>
  <c r="AA69"/>
  <c r="AD68"/>
  <c r="AA68"/>
  <c r="AD67"/>
  <c r="AA67"/>
  <c r="AD66"/>
  <c r="AA66"/>
  <c r="AD65"/>
  <c r="AA65"/>
  <c r="AD64"/>
  <c r="AA64"/>
  <c r="AD63"/>
  <c r="AA63"/>
  <c r="AD62"/>
  <c r="AA62"/>
  <c r="AD61"/>
  <c r="AA61"/>
  <c r="AD60"/>
  <c r="AA60"/>
  <c r="AD59"/>
  <c r="AA59"/>
  <c r="AD58"/>
  <c r="AA58"/>
  <c r="AD57"/>
  <c r="AA57"/>
  <c r="AD56"/>
  <c r="AA56"/>
  <c r="AD55"/>
  <c r="AA55"/>
  <c r="AD54"/>
  <c r="AA54"/>
  <c r="AD53"/>
  <c r="AA53"/>
  <c r="AD52"/>
  <c r="AA52"/>
  <c r="AD51"/>
  <c r="AA51"/>
  <c r="AD50"/>
  <c r="AA50"/>
  <c r="AD49"/>
  <c r="AA49"/>
  <c r="AD48"/>
  <c r="AA48"/>
  <c r="AD47"/>
  <c r="AA47"/>
  <c r="AD46"/>
  <c r="AA46"/>
  <c r="AD45"/>
  <c r="AA45"/>
  <c r="AD44"/>
  <c r="AA44"/>
  <c r="AD43"/>
  <c r="AA43"/>
  <c r="AD42"/>
  <c r="AA42"/>
  <c r="AD41"/>
  <c r="AA41"/>
  <c r="AD40"/>
  <c r="AA40"/>
  <c r="AD39"/>
  <c r="AA39"/>
  <c r="AD38"/>
  <c r="AA38"/>
  <c r="AD37"/>
  <c r="AA37"/>
  <c r="AD36"/>
  <c r="AA36"/>
  <c r="AD35"/>
  <c r="AA35"/>
  <c r="AD34"/>
  <c r="AA34"/>
  <c r="AD33"/>
  <c r="AA33"/>
  <c r="AD32"/>
  <c r="AA32"/>
  <c r="AD31"/>
  <c r="AA31"/>
  <c r="AD30"/>
  <c r="AA30"/>
  <c r="AD29"/>
  <c r="AA29"/>
  <c r="AD28"/>
  <c r="AA28"/>
  <c r="AD27"/>
  <c r="AA27"/>
  <c r="AD26"/>
  <c r="AA26"/>
  <c r="AD25"/>
  <c r="AA25"/>
  <c r="AD24"/>
  <c r="AA24"/>
  <c r="AD23"/>
  <c r="AA23"/>
  <c r="AD22"/>
  <c r="AA22"/>
  <c r="AD21"/>
  <c r="AA21"/>
  <c r="AD20"/>
  <c r="AA20"/>
  <c r="AD19"/>
  <c r="AA19"/>
  <c r="AD18"/>
  <c r="AA18"/>
  <c r="AD17"/>
  <c r="AA17"/>
  <c r="AD16"/>
  <c r="AA16"/>
  <c r="AD15"/>
  <c r="AA15"/>
  <c r="AD14"/>
  <c r="AA14"/>
  <c r="AD13"/>
  <c r="AA13"/>
  <c r="AD12"/>
  <c r="AA12"/>
  <c r="AD11"/>
  <c r="AA11"/>
  <c r="AD10"/>
  <c r="AA10"/>
  <c r="AD9"/>
  <c r="AA9"/>
  <c r="AD8"/>
  <c r="AA8"/>
  <c r="AD7"/>
  <c r="AA7"/>
  <c r="AD6"/>
  <c r="AA6"/>
  <c r="W95"/>
  <c r="X95" s="1"/>
  <c r="V95"/>
  <c r="T95"/>
  <c r="U95" s="1"/>
  <c r="S95"/>
  <c r="X94"/>
  <c r="U94"/>
  <c r="X93"/>
  <c r="U93"/>
  <c r="X92"/>
  <c r="U92"/>
  <c r="X91"/>
  <c r="U91"/>
  <c r="X90"/>
  <c r="U90"/>
  <c r="X89"/>
  <c r="U89"/>
  <c r="X88"/>
  <c r="U88"/>
  <c r="X87"/>
  <c r="U87"/>
  <c r="X86"/>
  <c r="U86"/>
  <c r="X85"/>
  <c r="U85"/>
  <c r="X84"/>
  <c r="U84"/>
  <c r="X83"/>
  <c r="U83"/>
  <c r="X82"/>
  <c r="U82"/>
  <c r="X81"/>
  <c r="U81"/>
  <c r="X80"/>
  <c r="U80"/>
  <c r="X79"/>
  <c r="U79"/>
  <c r="X78"/>
  <c r="U78"/>
  <c r="X77"/>
  <c r="U77"/>
  <c r="X76"/>
  <c r="U76"/>
  <c r="X75"/>
  <c r="U75"/>
  <c r="X74"/>
  <c r="U74"/>
  <c r="X73"/>
  <c r="U73"/>
  <c r="X72"/>
  <c r="U72"/>
  <c r="X71"/>
  <c r="U71"/>
  <c r="X70"/>
  <c r="U70"/>
  <c r="X69"/>
  <c r="U69"/>
  <c r="X68"/>
  <c r="U68"/>
  <c r="X67"/>
  <c r="U67"/>
  <c r="X66"/>
  <c r="U66"/>
  <c r="X65"/>
  <c r="U65"/>
  <c r="X64"/>
  <c r="U64"/>
  <c r="X63"/>
  <c r="U63"/>
  <c r="X62"/>
  <c r="U62"/>
  <c r="X61"/>
  <c r="U61"/>
  <c r="X60"/>
  <c r="U60"/>
  <c r="X59"/>
  <c r="U59"/>
  <c r="X58"/>
  <c r="U58"/>
  <c r="X57"/>
  <c r="U57"/>
  <c r="X56"/>
  <c r="U56"/>
  <c r="X55"/>
  <c r="U55"/>
  <c r="X54"/>
  <c r="U54"/>
  <c r="X53"/>
  <c r="U53"/>
  <c r="X52"/>
  <c r="U52"/>
  <c r="X51"/>
  <c r="U51"/>
  <c r="X50"/>
  <c r="U50"/>
  <c r="X49"/>
  <c r="U49"/>
  <c r="X48"/>
  <c r="U48"/>
  <c r="X47"/>
  <c r="U47"/>
  <c r="X46"/>
  <c r="U46"/>
  <c r="X45"/>
  <c r="U45"/>
  <c r="X44"/>
  <c r="U44"/>
  <c r="X43"/>
  <c r="U43"/>
  <c r="X42"/>
  <c r="U42"/>
  <c r="X41"/>
  <c r="U41"/>
  <c r="X40"/>
  <c r="U40"/>
  <c r="X39"/>
  <c r="U39"/>
  <c r="X38"/>
  <c r="U38"/>
  <c r="X37"/>
  <c r="U37"/>
  <c r="X36"/>
  <c r="U36"/>
  <c r="X35"/>
  <c r="U35"/>
  <c r="X34"/>
  <c r="U34"/>
  <c r="X33"/>
  <c r="U33"/>
  <c r="X32"/>
  <c r="U32"/>
  <c r="X31"/>
  <c r="U31"/>
  <c r="X30"/>
  <c r="U30"/>
  <c r="X29"/>
  <c r="U29"/>
  <c r="X28"/>
  <c r="U28"/>
  <c r="X27"/>
  <c r="U27"/>
  <c r="X26"/>
  <c r="U26"/>
  <c r="X25"/>
  <c r="U25"/>
  <c r="X24"/>
  <c r="U24"/>
  <c r="X23"/>
  <c r="U23"/>
  <c r="X22"/>
  <c r="U22"/>
  <c r="X21"/>
  <c r="U21"/>
  <c r="X20"/>
  <c r="U20"/>
  <c r="X19"/>
  <c r="U19"/>
  <c r="X18"/>
  <c r="U18"/>
  <c r="X17"/>
  <c r="U17"/>
  <c r="X16"/>
  <c r="U16"/>
  <c r="X15"/>
  <c r="U15"/>
  <c r="X14"/>
  <c r="U14"/>
  <c r="X13"/>
  <c r="U13"/>
  <c r="X12"/>
  <c r="U12"/>
  <c r="X11"/>
  <c r="U11"/>
  <c r="X10"/>
  <c r="U10"/>
  <c r="X9"/>
  <c r="U9"/>
  <c r="X8"/>
  <c r="U8"/>
  <c r="X7"/>
  <c r="U7"/>
  <c r="X6"/>
  <c r="U6"/>
  <c r="G6"/>
  <c r="H6"/>
  <c r="I6"/>
  <c r="G7"/>
  <c r="H7"/>
  <c r="I7" s="1"/>
  <c r="G8"/>
  <c r="H8"/>
  <c r="I8" s="1"/>
  <c r="G9"/>
  <c r="H9"/>
  <c r="I9" s="1"/>
  <c r="G10"/>
  <c r="H10"/>
  <c r="I10"/>
  <c r="G11"/>
  <c r="H11"/>
  <c r="I11" s="1"/>
  <c r="G12"/>
  <c r="H12"/>
  <c r="I12" s="1"/>
  <c r="G13"/>
  <c r="H13"/>
  <c r="I13" s="1"/>
  <c r="G14"/>
  <c r="H14"/>
  <c r="I14" s="1"/>
  <c r="G15"/>
  <c r="H15"/>
  <c r="I15" s="1"/>
  <c r="G16"/>
  <c r="H16"/>
  <c r="I16" s="1"/>
  <c r="G17"/>
  <c r="H17"/>
  <c r="G18"/>
  <c r="H18"/>
  <c r="I18" s="1"/>
  <c r="G19"/>
  <c r="H19"/>
  <c r="I19" s="1"/>
  <c r="G20"/>
  <c r="H20"/>
  <c r="I20" s="1"/>
  <c r="G21"/>
  <c r="H21"/>
  <c r="I21" s="1"/>
  <c r="G22"/>
  <c r="H22"/>
  <c r="I22"/>
  <c r="G23"/>
  <c r="H23"/>
  <c r="I23" s="1"/>
  <c r="G24"/>
  <c r="H24"/>
  <c r="I24"/>
  <c r="G25"/>
  <c r="H25"/>
  <c r="I25" s="1"/>
  <c r="G26"/>
  <c r="H26"/>
  <c r="I26"/>
  <c r="G27"/>
  <c r="H27"/>
  <c r="I27" s="1"/>
  <c r="G28"/>
  <c r="H28"/>
  <c r="I28"/>
  <c r="G29"/>
  <c r="H29"/>
  <c r="I29" s="1"/>
  <c r="G30"/>
  <c r="H30"/>
  <c r="I30"/>
  <c r="G31"/>
  <c r="H31"/>
  <c r="I31" s="1"/>
  <c r="G32"/>
  <c r="H32"/>
  <c r="I32" s="1"/>
  <c r="G33"/>
  <c r="H33"/>
  <c r="I33" s="1"/>
  <c r="G34"/>
  <c r="H34"/>
  <c r="I34" s="1"/>
  <c r="G35"/>
  <c r="H35"/>
  <c r="I35" s="1"/>
  <c r="G36"/>
  <c r="H36"/>
  <c r="I36"/>
  <c r="G37"/>
  <c r="H37"/>
  <c r="I37" s="1"/>
  <c r="G38"/>
  <c r="H38"/>
  <c r="I38"/>
  <c r="G39"/>
  <c r="H39"/>
  <c r="I39" s="1"/>
  <c r="G40"/>
  <c r="H40"/>
  <c r="I40" s="1"/>
  <c r="G41"/>
  <c r="H41"/>
  <c r="G42"/>
  <c r="H42"/>
  <c r="I42"/>
  <c r="G43"/>
  <c r="H43"/>
  <c r="I43" s="1"/>
  <c r="G44"/>
  <c r="H44"/>
  <c r="I44"/>
  <c r="G45"/>
  <c r="H45"/>
  <c r="I45" s="1"/>
  <c r="G46"/>
  <c r="H46"/>
  <c r="I46"/>
  <c r="G47"/>
  <c r="H47"/>
  <c r="I47"/>
  <c r="G48"/>
  <c r="H48"/>
  <c r="I48"/>
  <c r="G49"/>
  <c r="H49"/>
  <c r="I49"/>
  <c r="G50"/>
  <c r="H50"/>
  <c r="I50"/>
  <c r="G51"/>
  <c r="H51"/>
  <c r="I51" s="1"/>
  <c r="G52"/>
  <c r="H52"/>
  <c r="I52"/>
  <c r="G53"/>
  <c r="H53"/>
  <c r="I53"/>
  <c r="G54"/>
  <c r="H54"/>
  <c r="I54"/>
  <c r="G55"/>
  <c r="H55"/>
  <c r="I55"/>
  <c r="G56"/>
  <c r="H56"/>
  <c r="I56" s="1"/>
  <c r="G57"/>
  <c r="H57"/>
  <c r="I57"/>
  <c r="G58"/>
  <c r="H58"/>
  <c r="I58"/>
  <c r="G59"/>
  <c r="H59"/>
  <c r="I59"/>
  <c r="G60"/>
  <c r="H60"/>
  <c r="I60"/>
  <c r="G61"/>
  <c r="H61"/>
  <c r="I61"/>
  <c r="G62"/>
  <c r="H62"/>
  <c r="I62" s="1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 s="1"/>
  <c r="G84"/>
  <c r="H84"/>
  <c r="I84"/>
  <c r="G85"/>
  <c r="H85"/>
  <c r="I85" s="1"/>
  <c r="G86"/>
  <c r="H86"/>
  <c r="I86"/>
  <c r="G87"/>
  <c r="H87"/>
  <c r="I87" s="1"/>
  <c r="G88"/>
  <c r="H88"/>
  <c r="I88"/>
  <c r="G89"/>
  <c r="H89"/>
  <c r="I89" s="1"/>
  <c r="G90"/>
  <c r="H90"/>
  <c r="I90" s="1"/>
  <c r="G91"/>
  <c r="H91"/>
  <c r="I91" s="1"/>
  <c r="G92"/>
  <c r="H92"/>
  <c r="I92" s="1"/>
  <c r="G93"/>
  <c r="H93"/>
  <c r="I93" s="1"/>
  <c r="G94"/>
  <c r="H94"/>
  <c r="I94" s="1"/>
  <c r="G95"/>
  <c r="H95"/>
  <c r="P95"/>
  <c r="O95"/>
  <c r="Q94"/>
  <c r="Q93"/>
  <c r="Q92"/>
  <c r="Q91"/>
  <c r="Q90"/>
  <c r="Q89"/>
  <c r="Q88"/>
  <c r="R88" s="1"/>
  <c r="Q87"/>
  <c r="Q86"/>
  <c r="R86" s="1"/>
  <c r="Q85"/>
  <c r="Q84"/>
  <c r="R84" s="1"/>
  <c r="Q83"/>
  <c r="Q82"/>
  <c r="R82" s="1"/>
  <c r="Q81"/>
  <c r="R81" s="1"/>
  <c r="Q80"/>
  <c r="R80" s="1"/>
  <c r="Q79"/>
  <c r="R79" s="1"/>
  <c r="Q78"/>
  <c r="R78" s="1"/>
  <c r="Q77"/>
  <c r="R77" s="1"/>
  <c r="Q76"/>
  <c r="R76" s="1"/>
  <c r="Q75"/>
  <c r="R75" s="1"/>
  <c r="Q74"/>
  <c r="R74" s="1"/>
  <c r="Q73"/>
  <c r="R73" s="1"/>
  <c r="Q72"/>
  <c r="R72" s="1"/>
  <c r="Q71"/>
  <c r="R71" s="1"/>
  <c r="Q70"/>
  <c r="R70" s="1"/>
  <c r="Q69"/>
  <c r="R69" s="1"/>
  <c r="Q68"/>
  <c r="R68" s="1"/>
  <c r="Q67"/>
  <c r="R67" s="1"/>
  <c r="Q66"/>
  <c r="R66" s="1"/>
  <c r="Q65"/>
  <c r="R65" s="1"/>
  <c r="Q64"/>
  <c r="R64" s="1"/>
  <c r="Q63"/>
  <c r="R63" s="1"/>
  <c r="Q62"/>
  <c r="Q61"/>
  <c r="R61" s="1"/>
  <c r="Q60"/>
  <c r="R60" s="1"/>
  <c r="Q59"/>
  <c r="R59" s="1"/>
  <c r="Q58"/>
  <c r="R58" s="1"/>
  <c r="Q57"/>
  <c r="R57" s="1"/>
  <c r="Q56"/>
  <c r="Q55"/>
  <c r="R55" s="1"/>
  <c r="Q54"/>
  <c r="R54" s="1"/>
  <c r="Q53"/>
  <c r="R53" s="1"/>
  <c r="Q52"/>
  <c r="R52" s="1"/>
  <c r="Q51"/>
  <c r="Q50"/>
  <c r="R50" s="1"/>
  <c r="Q49"/>
  <c r="R49" s="1"/>
  <c r="Q48"/>
  <c r="R48" s="1"/>
  <c r="Q47"/>
  <c r="R47" s="1"/>
  <c r="Q46"/>
  <c r="R46" s="1"/>
  <c r="Q45"/>
  <c r="Q44"/>
  <c r="R44" s="1"/>
  <c r="Q43"/>
  <c r="Q42"/>
  <c r="R42" s="1"/>
  <c r="Q41"/>
  <c r="Q40"/>
  <c r="Q39"/>
  <c r="Q38"/>
  <c r="R38" s="1"/>
  <c r="Q37"/>
  <c r="Q36"/>
  <c r="R36" s="1"/>
  <c r="Q35"/>
  <c r="Q34"/>
  <c r="Q33"/>
  <c r="Q32"/>
  <c r="Q31"/>
  <c r="Q30"/>
  <c r="R30" s="1"/>
  <c r="Q29"/>
  <c r="Q28"/>
  <c r="R28" s="1"/>
  <c r="Q27"/>
  <c r="Q26"/>
  <c r="R26" s="1"/>
  <c r="Q25"/>
  <c r="Q24"/>
  <c r="R24" s="1"/>
  <c r="Q23"/>
  <c r="Q22"/>
  <c r="R22" s="1"/>
  <c r="Q21"/>
  <c r="Q20"/>
  <c r="Q19"/>
  <c r="Q18"/>
  <c r="Q17"/>
  <c r="Q16"/>
  <c r="Q15"/>
  <c r="Q14"/>
  <c r="Q13"/>
  <c r="Q12"/>
  <c r="Q11"/>
  <c r="Q10"/>
  <c r="R10" s="1"/>
  <c r="Q9"/>
  <c r="Q8"/>
  <c r="Q7"/>
  <c r="Q6"/>
  <c r="R6" s="1"/>
  <c r="K95"/>
  <c r="L95" s="1"/>
  <c r="J95"/>
  <c r="E95"/>
  <c r="M94"/>
  <c r="L94"/>
  <c r="F94"/>
  <c r="M93"/>
  <c r="L93"/>
  <c r="F93"/>
  <c r="M92"/>
  <c r="L92"/>
  <c r="M91"/>
  <c r="L91"/>
  <c r="F91"/>
  <c r="M90"/>
  <c r="L90"/>
  <c r="M89"/>
  <c r="L89"/>
  <c r="F89"/>
  <c r="M88"/>
  <c r="L88"/>
  <c r="M87"/>
  <c r="L87"/>
  <c r="M86"/>
  <c r="L86"/>
  <c r="M85"/>
  <c r="L85"/>
  <c r="F85"/>
  <c r="M84"/>
  <c r="L84"/>
  <c r="M83"/>
  <c r="L83"/>
  <c r="M82"/>
  <c r="L82"/>
  <c r="M81"/>
  <c r="L81"/>
  <c r="M80"/>
  <c r="L80"/>
  <c r="M79"/>
  <c r="L79"/>
  <c r="M78"/>
  <c r="L78"/>
  <c r="M77"/>
  <c r="L77"/>
  <c r="F77"/>
  <c r="M76"/>
  <c r="L76"/>
  <c r="F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F65"/>
  <c r="M64"/>
  <c r="L64"/>
  <c r="F64"/>
  <c r="M63"/>
  <c r="L63"/>
  <c r="F63"/>
  <c r="M62"/>
  <c r="L62"/>
  <c r="F62"/>
  <c r="M61"/>
  <c r="L61"/>
  <c r="F61"/>
  <c r="M60"/>
  <c r="L60"/>
  <c r="M59"/>
  <c r="L59"/>
  <c r="M58"/>
  <c r="L58"/>
  <c r="F58"/>
  <c r="M57"/>
  <c r="L57"/>
  <c r="M56"/>
  <c r="L56"/>
  <c r="M55"/>
  <c r="L55"/>
  <c r="M54"/>
  <c r="L54"/>
  <c r="M53"/>
  <c r="L53"/>
  <c r="M52"/>
  <c r="L52"/>
  <c r="M51"/>
  <c r="L51"/>
  <c r="F51"/>
  <c r="M50"/>
  <c r="L50"/>
  <c r="M49"/>
  <c r="L49"/>
  <c r="M48"/>
  <c r="L48"/>
  <c r="M47"/>
  <c r="L47"/>
  <c r="M46"/>
  <c r="L46"/>
  <c r="F46"/>
  <c r="M45"/>
  <c r="L45"/>
  <c r="M44"/>
  <c r="L44"/>
  <c r="M43"/>
  <c r="L43"/>
  <c r="F43"/>
  <c r="M42"/>
  <c r="L42"/>
  <c r="M41"/>
  <c r="L41"/>
  <c r="M40"/>
  <c r="L40"/>
  <c r="F40"/>
  <c r="M39"/>
  <c r="L39"/>
  <c r="M38"/>
  <c r="L38"/>
  <c r="F38"/>
  <c r="M37"/>
  <c r="L37"/>
  <c r="F37"/>
  <c r="M36"/>
  <c r="L36"/>
  <c r="F36"/>
  <c r="M35"/>
  <c r="L35"/>
  <c r="F35"/>
  <c r="M34"/>
  <c r="L34"/>
  <c r="M33"/>
  <c r="L33"/>
  <c r="F33"/>
  <c r="M32"/>
  <c r="L32"/>
  <c r="M31"/>
  <c r="L31"/>
  <c r="M30"/>
  <c r="L30"/>
  <c r="M29"/>
  <c r="L29"/>
  <c r="M28"/>
  <c r="L28"/>
  <c r="M27"/>
  <c r="L27"/>
  <c r="M26"/>
  <c r="L26"/>
  <c r="M25"/>
  <c r="L25"/>
  <c r="F25"/>
  <c r="M24"/>
  <c r="L24"/>
  <c r="F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F13"/>
  <c r="M12"/>
  <c r="L12"/>
  <c r="F12"/>
  <c r="M11"/>
  <c r="L11"/>
  <c r="M10"/>
  <c r="L10"/>
  <c r="F10"/>
  <c r="M9"/>
  <c r="L9"/>
  <c r="M8"/>
  <c r="L8"/>
  <c r="M7"/>
  <c r="L7"/>
  <c r="M6"/>
  <c r="L6"/>
  <c r="R8" l="1"/>
  <c r="R12"/>
  <c r="R14"/>
  <c r="R16"/>
  <c r="R18"/>
  <c r="R20"/>
  <c r="R32"/>
  <c r="R34"/>
  <c r="R40"/>
  <c r="R56"/>
  <c r="R62"/>
  <c r="R90"/>
  <c r="R92"/>
  <c r="R94"/>
  <c r="I41"/>
  <c r="I17"/>
  <c r="R7"/>
  <c r="R9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51"/>
  <c r="R83"/>
  <c r="R85"/>
  <c r="R87"/>
  <c r="R89"/>
  <c r="R91"/>
  <c r="R93"/>
  <c r="F95"/>
  <c r="Q95"/>
</calcChain>
</file>

<file path=xl/sharedStrings.xml><?xml version="1.0" encoding="utf-8"?>
<sst xmlns="http://schemas.openxmlformats.org/spreadsheetml/2006/main" count="243" uniqueCount="156">
  <si>
    <t>11/01.</t>
  </si>
  <si>
    <t>Пр-кт Сююмбике</t>
  </si>
  <si>
    <t>11/03.</t>
  </si>
  <si>
    <t>11/06.</t>
  </si>
  <si>
    <t>Ул. Раиса Беляева</t>
  </si>
  <si>
    <t>11/07.</t>
  </si>
  <si>
    <t>Пр-кт Мира</t>
  </si>
  <si>
    <t>11/09.</t>
  </si>
  <si>
    <t>37/15</t>
  </si>
  <si>
    <t>11/11.</t>
  </si>
  <si>
    <t>11/12.</t>
  </si>
  <si>
    <t>11/14.</t>
  </si>
  <si>
    <t>11/17.</t>
  </si>
  <si>
    <t>11/24.</t>
  </si>
  <si>
    <t>11/25.</t>
  </si>
  <si>
    <t>11/26.</t>
  </si>
  <si>
    <t>11/27.</t>
  </si>
  <si>
    <t>11/31.</t>
  </si>
  <si>
    <t>11/32.</t>
  </si>
  <si>
    <t>10/2.</t>
  </si>
  <si>
    <t>11/33.</t>
  </si>
  <si>
    <t>16/01.</t>
  </si>
  <si>
    <t>30/1.</t>
  </si>
  <si>
    <t>16/02.</t>
  </si>
  <si>
    <t>30/2.</t>
  </si>
  <si>
    <t>16/03.</t>
  </si>
  <si>
    <t>16/08.</t>
  </si>
  <si>
    <t>16/09.</t>
  </si>
  <si>
    <t>16/10.</t>
  </si>
  <si>
    <t>16/11.</t>
  </si>
  <si>
    <t>16/12.</t>
  </si>
  <si>
    <t>16/13.</t>
  </si>
  <si>
    <t>16/14.</t>
  </si>
  <si>
    <t>16/15.</t>
  </si>
  <si>
    <t>30/3.</t>
  </si>
  <si>
    <t>16/17.</t>
  </si>
  <si>
    <t>30/4.</t>
  </si>
  <si>
    <t>16/18.</t>
  </si>
  <si>
    <t>30/5.</t>
  </si>
  <si>
    <t>17/01.</t>
  </si>
  <si>
    <t>Пр-кт Хасана Туфана</t>
  </si>
  <si>
    <t>22/9.</t>
  </si>
  <si>
    <t>17/03.</t>
  </si>
  <si>
    <t>18/51</t>
  </si>
  <si>
    <t>17/05.</t>
  </si>
  <si>
    <t>17/06.</t>
  </si>
  <si>
    <t>Б-р Солнечный</t>
  </si>
  <si>
    <t>17/07.</t>
  </si>
  <si>
    <t>17/10.</t>
  </si>
  <si>
    <t>Б-р Школьный</t>
  </si>
  <si>
    <t>17/11.</t>
  </si>
  <si>
    <t>17/12.</t>
  </si>
  <si>
    <t>17/13.</t>
  </si>
  <si>
    <t>17/15.</t>
  </si>
  <si>
    <t>17/16.</t>
  </si>
  <si>
    <t>18/01.</t>
  </si>
  <si>
    <t>Б-р Главмосстроевцев</t>
  </si>
  <si>
    <t>18/02.</t>
  </si>
  <si>
    <t>18/03.</t>
  </si>
  <si>
    <t>18/04.</t>
  </si>
  <si>
    <t>18/06.</t>
  </si>
  <si>
    <t>18/07.</t>
  </si>
  <si>
    <t>18/11.</t>
  </si>
  <si>
    <t>18/12.</t>
  </si>
  <si>
    <t>18/13.</t>
  </si>
  <si>
    <t>18/15.</t>
  </si>
  <si>
    <t>73/21</t>
  </si>
  <si>
    <t>18/16.</t>
  </si>
  <si>
    <t>Пр-кт Вахитова</t>
  </si>
  <si>
    <t>20/02.</t>
  </si>
  <si>
    <t>20/04.</t>
  </si>
  <si>
    <t>20/05.</t>
  </si>
  <si>
    <t>58/41</t>
  </si>
  <si>
    <t>20/05а</t>
  </si>
  <si>
    <t>Пр-кт Автозаводский</t>
  </si>
  <si>
    <t>41а</t>
  </si>
  <si>
    <t>20/07.</t>
  </si>
  <si>
    <t>Б-р Цветочный</t>
  </si>
  <si>
    <t>23/02.</t>
  </si>
  <si>
    <t>23/04.</t>
  </si>
  <si>
    <t>23/05.</t>
  </si>
  <si>
    <t>23/07в</t>
  </si>
  <si>
    <t>17В</t>
  </si>
  <si>
    <t>23/11а</t>
  </si>
  <si>
    <t>9/24а</t>
  </si>
  <si>
    <t>23/11б</t>
  </si>
  <si>
    <t>9/24б</t>
  </si>
  <si>
    <t>23/11в</t>
  </si>
  <si>
    <t>9/24в</t>
  </si>
  <si>
    <t>23/11г</t>
  </si>
  <si>
    <t>9/24г</t>
  </si>
  <si>
    <t>23/11д</t>
  </si>
  <si>
    <t>9/24д</t>
  </si>
  <si>
    <t>23/12.</t>
  </si>
  <si>
    <t>22/15</t>
  </si>
  <si>
    <t>Ул. Татарстан</t>
  </si>
  <si>
    <t>24/02.</t>
  </si>
  <si>
    <t>24/03.</t>
  </si>
  <si>
    <t>24/04.</t>
  </si>
  <si>
    <t>24/06.</t>
  </si>
  <si>
    <t>24/08.</t>
  </si>
  <si>
    <t>25/07а</t>
  </si>
  <si>
    <t>99а</t>
  </si>
  <si>
    <t>25/07б</t>
  </si>
  <si>
    <t>99б</t>
  </si>
  <si>
    <t>25/06.</t>
  </si>
  <si>
    <t>Пр-кт Яшьлек</t>
  </si>
  <si>
    <t>25/08.</t>
  </si>
  <si>
    <t>25/09.</t>
  </si>
  <si>
    <t>25/11.</t>
  </si>
  <si>
    <t>25/12.</t>
  </si>
  <si>
    <t>25/13.</t>
  </si>
  <si>
    <t>25/15.</t>
  </si>
  <si>
    <t>25/15н</t>
  </si>
  <si>
    <t>25/16.</t>
  </si>
  <si>
    <t>25/18.</t>
  </si>
  <si>
    <t>25/20.</t>
  </si>
  <si>
    <t>25/21.</t>
  </si>
  <si>
    <t>25/24.</t>
  </si>
  <si>
    <t>25/26.</t>
  </si>
  <si>
    <t>25/27.</t>
  </si>
  <si>
    <t>86/43</t>
  </si>
  <si>
    <t>№ п/п.</t>
  </si>
  <si>
    <t>№ ж/дома</t>
  </si>
  <si>
    <t>холодная вода</t>
  </si>
  <si>
    <t>площадь жилого дома(м2).</t>
  </si>
  <si>
    <t>по мониторингу потребления коммунальных ресурсов и обьему коммунальных услуг на общедомовые нужды.</t>
  </si>
  <si>
    <t>97/2</t>
  </si>
  <si>
    <t>электроэнергия</t>
  </si>
  <si>
    <t>Коэф. Коррекции за октябрь</t>
  </si>
  <si>
    <t>фактическое потребление эл/энергии октябрь 2012г.(кВт.ч. за 30 дней)</t>
  </si>
  <si>
    <t>Факт на  ОДН(м3)</t>
  </si>
  <si>
    <t>%  ОДН от факта потребления</t>
  </si>
  <si>
    <t>Фактический  расход по дому за октябрь(кВт.ч.)</t>
  </si>
  <si>
    <t>Факт на  ОДН   (кВт.ч.)</t>
  </si>
  <si>
    <t>Фактический  расход по дому за октябрь  (м3)</t>
  </si>
  <si>
    <t>Факт на  ОДН   (м3)</t>
  </si>
  <si>
    <t>кол-во проживающих  (чел).</t>
  </si>
  <si>
    <t>октябрь</t>
  </si>
  <si>
    <t>ноябрь</t>
  </si>
  <si>
    <t>Фактический  расход по дому за ноябрь(м3)</t>
  </si>
  <si>
    <t>Фактический  расход по дому за ноябрь  (м3)</t>
  </si>
  <si>
    <t>Фактический  расход по дому за ноябрь(кВт.ч.)</t>
  </si>
  <si>
    <t>норматив потребления электроэнергии (кВт.ч. за 30 дней)</t>
  </si>
  <si>
    <t>нормативы потребления электроэнергии на ОДН.(кВт.ч.)</t>
  </si>
  <si>
    <t>% ОДН от нормативного потребления электроэнергии</t>
  </si>
  <si>
    <t>Фактический  расход по дому за октябрь   (м3)</t>
  </si>
  <si>
    <t>одн -норматив/одн-факт(ноябрь)</t>
  </si>
  <si>
    <t xml:space="preserve">     октябрь</t>
  </si>
  <si>
    <t xml:space="preserve">     ноябрь</t>
  </si>
  <si>
    <t>горячая  вода</t>
  </si>
  <si>
    <t>до 10%</t>
  </si>
  <si>
    <t>от 10-20 %</t>
  </si>
  <si>
    <t>от 20 %</t>
  </si>
  <si>
    <t>ПАСПОРТ ЖИЛИЩНОГО ФОНДА</t>
  </si>
  <si>
    <t>% превышения ОДН в сравнении  факта потребления с нормативами на ОДН.</t>
  </si>
</sst>
</file>

<file path=xl/styles.xml><?xml version="1.0" encoding="utf-8"?>
<styleSheet xmlns="http://schemas.openxmlformats.org/spreadsheetml/2006/main">
  <numFmts count="1">
    <numFmt numFmtId="164" formatCode="0.000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6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1" xfId="1" applyBorder="1"/>
    <xf numFmtId="0" fontId="1" fillId="0" borderId="1" xfId="1" applyBorder="1" applyAlignment="1">
      <alignment horizontal="center"/>
    </xf>
    <xf numFmtId="16" fontId="1" fillId="0" borderId="1" xfId="1" applyNumberFormat="1" applyBorder="1"/>
    <xf numFmtId="0" fontId="1" fillId="0" borderId="2" xfId="1" applyBorder="1"/>
    <xf numFmtId="0" fontId="2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1" xfId="0" applyNumberFormat="1" applyBorder="1"/>
    <xf numFmtId="2" fontId="3" fillId="0" borderId="1" xfId="0" applyNumberFormat="1" applyFont="1" applyFill="1" applyBorder="1"/>
    <xf numFmtId="2" fontId="3" fillId="0" borderId="5" xfId="0" applyNumberFormat="1" applyFont="1" applyFill="1" applyBorder="1"/>
    <xf numFmtId="2" fontId="4" fillId="0" borderId="1" xfId="0" applyNumberFormat="1" applyFont="1" applyFill="1" applyBorder="1"/>
    <xf numFmtId="0" fontId="0" fillId="3" borderId="1" xfId="0" applyFill="1" applyBorder="1"/>
    <xf numFmtId="1" fontId="0" fillId="0" borderId="1" xfId="0" applyNumberFormat="1" applyBorder="1"/>
    <xf numFmtId="1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" xfId="0" applyNumberFormat="1" applyBorder="1"/>
    <xf numFmtId="0" fontId="7" fillId="0" borderId="0" xfId="0" applyFont="1" applyAlignment="1">
      <alignment horizontal="left"/>
    </xf>
    <xf numFmtId="1" fontId="0" fillId="4" borderId="1" xfId="0" applyNumberFormat="1" applyFill="1" applyBorder="1"/>
    <xf numFmtId="1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1" fontId="0" fillId="0" borderId="5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/>
    <xf numFmtId="1" fontId="0" fillId="7" borderId="1" xfId="0" applyNumberFormat="1" applyFill="1" applyBorder="1"/>
    <xf numFmtId="1" fontId="0" fillId="5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4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1" fontId="0" fillId="8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1" fontId="9" fillId="8" borderId="1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/>
    <xf numFmtId="0" fontId="12" fillId="0" borderId="0" xfId="0" applyFont="1"/>
    <xf numFmtId="0" fontId="11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workbookViewId="0">
      <pane xSplit="4" ySplit="5" topLeftCell="E90" activePane="bottomRight" state="frozen"/>
      <selection pane="topRight" activeCell="E1" sqref="E1"/>
      <selection pane="bottomLeft" activeCell="A5" sqref="A5"/>
      <selection pane="bottomRight" activeCell="S97" sqref="S97"/>
    </sheetView>
  </sheetViews>
  <sheetFormatPr defaultRowHeight="15"/>
  <cols>
    <col min="1" max="1" width="4.42578125" customWidth="1"/>
    <col min="2" max="2" width="8.7109375" customWidth="1"/>
    <col min="3" max="3" width="18.42578125" customWidth="1"/>
    <col min="4" max="4" width="5.7109375" customWidth="1"/>
    <col min="5" max="5" width="10.5703125" customWidth="1"/>
    <col min="6" max="6" width="8.5703125" customWidth="1"/>
    <col min="7" max="7" width="13.140625" hidden="1" customWidth="1"/>
    <col min="8" max="9" width="13.5703125" hidden="1" customWidth="1"/>
    <col min="10" max="10" width="9.7109375" customWidth="1"/>
    <col min="11" max="11" width="8.140625" customWidth="1"/>
    <col min="12" max="12" width="9.28515625" style="37" customWidth="1"/>
    <col min="13" max="13" width="12.5703125" hidden="1" customWidth="1"/>
    <col min="14" max="14" width="10.5703125" hidden="1" customWidth="1"/>
    <col min="15" max="15" width="10.42578125" customWidth="1"/>
    <col min="16" max="16" width="9.42578125" customWidth="1"/>
    <col min="17" max="17" width="11" style="37" hidden="1" customWidth="1"/>
    <col min="18" max="18" width="12.85546875" style="37" customWidth="1"/>
    <col min="23" max="23" width="9.140625" customWidth="1"/>
    <col min="24" max="24" width="8.5703125" customWidth="1"/>
    <col min="26" max="26" width="8.5703125" customWidth="1"/>
    <col min="27" max="27" width="8.140625" customWidth="1"/>
    <col min="29" max="29" width="8.28515625" customWidth="1"/>
    <col min="30" max="30" width="8.42578125" customWidth="1"/>
  </cols>
  <sheetData>
    <row r="1" spans="1:30" ht="26.25">
      <c r="O1" s="52" t="s">
        <v>154</v>
      </c>
    </row>
    <row r="2" spans="1:30" ht="26.25">
      <c r="B2" s="27" t="s">
        <v>126</v>
      </c>
      <c r="E2" s="27"/>
    </row>
    <row r="3" spans="1:30" ht="26.25">
      <c r="B3" s="27"/>
      <c r="E3" s="27"/>
      <c r="J3" s="58" t="s">
        <v>128</v>
      </c>
      <c r="K3" s="59"/>
      <c r="L3" s="59"/>
      <c r="M3" s="59"/>
      <c r="N3" s="59"/>
      <c r="O3" s="59"/>
      <c r="P3" s="59"/>
      <c r="Q3" s="59"/>
      <c r="R3" s="60"/>
      <c r="S3" s="58" t="s">
        <v>124</v>
      </c>
      <c r="T3" s="59"/>
      <c r="U3" s="59"/>
      <c r="V3" s="59"/>
      <c r="W3" s="59"/>
      <c r="X3" s="60"/>
      <c r="Y3" s="58" t="s">
        <v>150</v>
      </c>
      <c r="Z3" s="59"/>
      <c r="AA3" s="59"/>
      <c r="AB3" s="59"/>
      <c r="AC3" s="59"/>
      <c r="AD3" s="60"/>
    </row>
    <row r="4" spans="1:30" ht="33.75">
      <c r="A4" s="7"/>
      <c r="B4" s="8"/>
      <c r="C4" s="8"/>
      <c r="D4" s="8"/>
      <c r="E4" s="9"/>
      <c r="F4" s="9"/>
      <c r="G4" s="34"/>
      <c r="H4" s="35"/>
      <c r="I4" s="35"/>
      <c r="J4" s="58" t="s">
        <v>148</v>
      </c>
      <c r="K4" s="59"/>
      <c r="L4" s="60"/>
      <c r="M4" s="43"/>
      <c r="N4" s="36"/>
      <c r="O4" s="58" t="s">
        <v>149</v>
      </c>
      <c r="P4" s="59"/>
      <c r="Q4" s="60"/>
      <c r="R4" s="53" t="s">
        <v>147</v>
      </c>
      <c r="S4" s="55" t="s">
        <v>138</v>
      </c>
      <c r="T4" s="56"/>
      <c r="U4" s="57"/>
      <c r="V4" s="55" t="s">
        <v>139</v>
      </c>
      <c r="W4" s="56"/>
      <c r="X4" s="57"/>
      <c r="Y4" s="55" t="s">
        <v>138</v>
      </c>
      <c r="Z4" s="56"/>
      <c r="AA4" s="57"/>
      <c r="AB4" s="55" t="s">
        <v>139</v>
      </c>
      <c r="AC4" s="56"/>
      <c r="AD4" s="57"/>
    </row>
    <row r="5" spans="1:30" ht="135">
      <c r="A5" s="22" t="s">
        <v>122</v>
      </c>
      <c r="B5" s="24" t="s">
        <v>123</v>
      </c>
      <c r="C5" s="24"/>
      <c r="D5" s="25"/>
      <c r="E5" s="22" t="s">
        <v>125</v>
      </c>
      <c r="F5" s="50" t="s">
        <v>137</v>
      </c>
      <c r="G5" s="22" t="s">
        <v>143</v>
      </c>
      <c r="H5" s="22" t="s">
        <v>144</v>
      </c>
      <c r="I5" s="22" t="s">
        <v>145</v>
      </c>
      <c r="J5" s="22" t="s">
        <v>133</v>
      </c>
      <c r="K5" s="22" t="s">
        <v>134</v>
      </c>
      <c r="L5" s="22" t="s">
        <v>132</v>
      </c>
      <c r="M5" s="22" t="s">
        <v>130</v>
      </c>
      <c r="N5" s="22" t="s">
        <v>129</v>
      </c>
      <c r="O5" s="22" t="s">
        <v>142</v>
      </c>
      <c r="P5" s="22" t="s">
        <v>134</v>
      </c>
      <c r="Q5" s="22" t="s">
        <v>132</v>
      </c>
      <c r="R5" s="54" t="s">
        <v>155</v>
      </c>
      <c r="S5" s="22" t="s">
        <v>135</v>
      </c>
      <c r="T5" s="22" t="s">
        <v>131</v>
      </c>
      <c r="U5" s="22" t="s">
        <v>132</v>
      </c>
      <c r="V5" s="22" t="s">
        <v>141</v>
      </c>
      <c r="W5" s="22" t="s">
        <v>131</v>
      </c>
      <c r="X5" s="33" t="s">
        <v>132</v>
      </c>
      <c r="Y5" s="22" t="s">
        <v>146</v>
      </c>
      <c r="Z5" s="22" t="s">
        <v>136</v>
      </c>
      <c r="AA5" s="22" t="s">
        <v>132</v>
      </c>
      <c r="AB5" s="22" t="s">
        <v>140</v>
      </c>
      <c r="AC5" s="22" t="s">
        <v>136</v>
      </c>
      <c r="AD5" s="22" t="s">
        <v>132</v>
      </c>
    </row>
    <row r="6" spans="1:30">
      <c r="A6" s="4">
        <v>1</v>
      </c>
      <c r="B6" s="1" t="s">
        <v>0</v>
      </c>
      <c r="C6" s="1" t="s">
        <v>1</v>
      </c>
      <c r="D6" s="2">
        <v>4</v>
      </c>
      <c r="E6" s="11">
        <v>8001.7</v>
      </c>
      <c r="F6" s="51">
        <v>317</v>
      </c>
      <c r="G6" s="18">
        <f>(1*256)+(63*299)+(63*325)</f>
        <v>39568</v>
      </c>
      <c r="H6" s="16">
        <f>1.114*E6</f>
        <v>8913.8937999999998</v>
      </c>
      <c r="I6" s="16">
        <f t="shared" ref="I6:I69" si="0">H6/G6%</f>
        <v>22.528037302871006</v>
      </c>
      <c r="J6" s="15">
        <v>36365</v>
      </c>
      <c r="K6" s="15">
        <v>14574</v>
      </c>
      <c r="L6" s="48">
        <f>K6/J6%</f>
        <v>40.076997112608282</v>
      </c>
      <c r="M6" s="15">
        <f>J6/35*30</f>
        <v>31170</v>
      </c>
      <c r="N6" s="26">
        <v>1.1838420000000001</v>
      </c>
      <c r="O6" s="6">
        <v>35363</v>
      </c>
      <c r="P6" s="29">
        <v>11088.02</v>
      </c>
      <c r="Q6" s="41">
        <f t="shared" ref="Q6:Q70" si="1">P6/O6%</f>
        <v>31.354862426830305</v>
      </c>
      <c r="R6" s="42">
        <f t="shared" ref="R6:R37" si="2">Q6-I6</f>
        <v>8.8268251239592992</v>
      </c>
      <c r="S6" s="10">
        <v>1271</v>
      </c>
      <c r="T6" s="10">
        <v>411</v>
      </c>
      <c r="U6" s="47">
        <f>T6/S6%</f>
        <v>32.336742722265932</v>
      </c>
      <c r="V6" s="16">
        <v>1022</v>
      </c>
      <c r="W6" s="29">
        <v>205</v>
      </c>
      <c r="X6" s="28">
        <f>W6/V6%</f>
        <v>20.058708414872797</v>
      </c>
      <c r="Y6" s="6">
        <v>612</v>
      </c>
      <c r="Z6" s="6">
        <v>217</v>
      </c>
      <c r="AA6" s="47">
        <f>Z6/Y6%</f>
        <v>35.457516339869279</v>
      </c>
      <c r="AB6" s="6">
        <v>556</v>
      </c>
      <c r="AC6" s="30">
        <v>85</v>
      </c>
      <c r="AD6" s="28">
        <f>AC6/AB6%</f>
        <v>15.287769784172664</v>
      </c>
    </row>
    <row r="7" spans="1:30">
      <c r="A7" s="4">
        <v>2</v>
      </c>
      <c r="B7" s="1" t="s">
        <v>2</v>
      </c>
      <c r="C7" s="1" t="s">
        <v>1</v>
      </c>
      <c r="D7" s="2">
        <v>12</v>
      </c>
      <c r="E7" s="11">
        <v>8156.3</v>
      </c>
      <c r="F7" s="51">
        <v>359</v>
      </c>
      <c r="G7" s="18">
        <f>(1*256)+(63*299)+(64*325)</f>
        <v>39893</v>
      </c>
      <c r="H7" s="16">
        <f>1.114*E7</f>
        <v>9086.1182000000008</v>
      </c>
      <c r="I7" s="16">
        <f t="shared" si="0"/>
        <v>22.776221893565289</v>
      </c>
      <c r="J7" s="15">
        <v>38798</v>
      </c>
      <c r="K7" s="15">
        <v>18939</v>
      </c>
      <c r="L7" s="48">
        <f t="shared" ref="L7:L70" si="3">K7/J7%</f>
        <v>48.814371874838905</v>
      </c>
      <c r="M7" s="15">
        <f t="shared" ref="M7:M70" si="4">J7/35*30</f>
        <v>33255.428571428572</v>
      </c>
      <c r="N7" s="26">
        <v>1.4565319999999999</v>
      </c>
      <c r="O7" s="6">
        <v>38280</v>
      </c>
      <c r="P7" s="29">
        <v>16049.32</v>
      </c>
      <c r="Q7" s="41">
        <f t="shared" si="1"/>
        <v>41.926123301985371</v>
      </c>
      <c r="R7" s="38">
        <f t="shared" si="2"/>
        <v>19.149901408420082</v>
      </c>
      <c r="S7" s="10">
        <v>1222</v>
      </c>
      <c r="T7" s="10">
        <v>526</v>
      </c>
      <c r="U7" s="47">
        <f t="shared" ref="U7:U70" si="5">T7/S7%</f>
        <v>43.044189852700491</v>
      </c>
      <c r="V7" s="16">
        <v>1007</v>
      </c>
      <c r="W7" s="29">
        <v>317</v>
      </c>
      <c r="X7" s="47">
        <f t="shared" ref="X7:X70" si="6">W7/V7%</f>
        <v>31.479642502482619</v>
      </c>
      <c r="Y7" s="6">
        <v>766</v>
      </c>
      <c r="Z7" s="6">
        <v>335</v>
      </c>
      <c r="AA7" s="47">
        <f t="shared" ref="AA7:AA70" si="7">Z7/Y7%</f>
        <v>43.733681462140993</v>
      </c>
      <c r="AB7" s="6">
        <v>681</v>
      </c>
      <c r="AC7" s="30">
        <v>175</v>
      </c>
      <c r="AD7" s="47">
        <f t="shared" ref="AD7:AD70" si="8">AC7/AB7%</f>
        <v>25.697503671071953</v>
      </c>
    </row>
    <row r="8" spans="1:30">
      <c r="A8" s="4">
        <v>3</v>
      </c>
      <c r="B8" s="1" t="s">
        <v>3</v>
      </c>
      <c r="C8" s="1" t="s">
        <v>4</v>
      </c>
      <c r="D8" s="2">
        <v>25</v>
      </c>
      <c r="E8" s="11">
        <v>5294.9</v>
      </c>
      <c r="F8" s="51">
        <v>314</v>
      </c>
      <c r="G8" s="18">
        <f>(19*179)+(19*224)+(58*251)+(9*270)+(1*270)</f>
        <v>24915</v>
      </c>
      <c r="H8" s="16">
        <f>0.957*E8</f>
        <v>5067.2192999999997</v>
      </c>
      <c r="I8" s="16">
        <f t="shared" si="0"/>
        <v>20.338026490066223</v>
      </c>
      <c r="J8" s="15">
        <v>24512</v>
      </c>
      <c r="K8" s="15">
        <v>12032</v>
      </c>
      <c r="L8" s="48">
        <f t="shared" si="3"/>
        <v>49.086161879895563</v>
      </c>
      <c r="M8" s="15">
        <f t="shared" si="4"/>
        <v>21010.285714285714</v>
      </c>
      <c r="N8" s="26">
        <v>1.522972</v>
      </c>
      <c r="O8" s="6">
        <v>25328</v>
      </c>
      <c r="P8" s="29">
        <v>11382.55</v>
      </c>
      <c r="Q8" s="41">
        <f t="shared" si="1"/>
        <v>44.940579595704357</v>
      </c>
      <c r="R8" s="48">
        <f t="shared" si="2"/>
        <v>24.602553105638133</v>
      </c>
      <c r="S8" s="10">
        <v>952</v>
      </c>
      <c r="T8" s="10">
        <v>328</v>
      </c>
      <c r="U8" s="47">
        <f t="shared" si="5"/>
        <v>34.45378151260504</v>
      </c>
      <c r="V8" s="16">
        <v>738</v>
      </c>
      <c r="W8" s="29">
        <v>122</v>
      </c>
      <c r="X8" s="28">
        <f t="shared" si="6"/>
        <v>16.531165311653115</v>
      </c>
      <c r="Y8" s="6">
        <v>598</v>
      </c>
      <c r="Z8" s="6">
        <v>237</v>
      </c>
      <c r="AA8" s="47">
        <f t="shared" si="7"/>
        <v>39.632107023411372</v>
      </c>
      <c r="AB8" s="6">
        <v>533</v>
      </c>
      <c r="AC8" s="30">
        <v>94</v>
      </c>
      <c r="AD8" s="28">
        <f t="shared" si="8"/>
        <v>17.636022514071293</v>
      </c>
    </row>
    <row r="9" spans="1:30">
      <c r="A9" s="4">
        <v>4</v>
      </c>
      <c r="B9" s="1" t="s">
        <v>5</v>
      </c>
      <c r="C9" s="1" t="s">
        <v>6</v>
      </c>
      <c r="D9" s="2">
        <v>23</v>
      </c>
      <c r="E9" s="11">
        <v>10484</v>
      </c>
      <c r="F9" s="51">
        <v>642</v>
      </c>
      <c r="G9" s="18">
        <f>(45*179)+(49*224)+(112*251)+(9*270)+(0*270)</f>
        <v>49573</v>
      </c>
      <c r="H9" s="16">
        <f>0.957*E9</f>
        <v>10033.188</v>
      </c>
      <c r="I9" s="16">
        <f t="shared" si="0"/>
        <v>20.239218929659291</v>
      </c>
      <c r="J9" s="15">
        <v>44141</v>
      </c>
      <c r="K9" s="15">
        <v>21934</v>
      </c>
      <c r="L9" s="48">
        <f t="shared" si="3"/>
        <v>49.690763689087241</v>
      </c>
      <c r="M9" s="15">
        <f t="shared" si="4"/>
        <v>37835.142857142855</v>
      </c>
      <c r="N9" s="26">
        <v>1.2309110000000001</v>
      </c>
      <c r="O9" s="6">
        <v>42423</v>
      </c>
      <c r="P9" s="29">
        <v>15403.93</v>
      </c>
      <c r="Q9" s="41">
        <f t="shared" si="1"/>
        <v>36.310326945289113</v>
      </c>
      <c r="R9" s="38">
        <f t="shared" si="2"/>
        <v>16.071108015629822</v>
      </c>
      <c r="S9" s="10">
        <v>1953</v>
      </c>
      <c r="T9" s="10">
        <v>764</v>
      </c>
      <c r="U9" s="47">
        <f t="shared" si="5"/>
        <v>39.119303635432665</v>
      </c>
      <c r="V9" s="16">
        <v>1462</v>
      </c>
      <c r="W9" s="29">
        <v>231</v>
      </c>
      <c r="X9" s="28">
        <f t="shared" si="6"/>
        <v>15.800273597811218</v>
      </c>
      <c r="Y9" s="6">
        <v>1234</v>
      </c>
      <c r="Z9" s="6">
        <v>482</v>
      </c>
      <c r="AA9" s="47">
        <f t="shared" si="7"/>
        <v>39.05996758508914</v>
      </c>
      <c r="AB9" s="6">
        <v>1108</v>
      </c>
      <c r="AC9" s="30">
        <v>203</v>
      </c>
      <c r="AD9" s="28">
        <f t="shared" si="8"/>
        <v>18.321299638989171</v>
      </c>
    </row>
    <row r="10" spans="1:30">
      <c r="A10" s="4">
        <v>5</v>
      </c>
      <c r="B10" s="1" t="s">
        <v>7</v>
      </c>
      <c r="C10" s="1" t="s">
        <v>6</v>
      </c>
      <c r="D10" s="2" t="s">
        <v>8</v>
      </c>
      <c r="E10" s="11">
        <v>25938.62</v>
      </c>
      <c r="F10" s="51">
        <f>1549+37</f>
        <v>1586</v>
      </c>
      <c r="G10" s="18">
        <f>(94*179)+(320*224)+(151*251)+(10*270)+(0*270)</f>
        <v>129107</v>
      </c>
      <c r="H10" s="16">
        <f>0.671*E10</f>
        <v>17404.814020000002</v>
      </c>
      <c r="I10" s="16">
        <f t="shared" si="0"/>
        <v>13.480922041407517</v>
      </c>
      <c r="J10" s="15">
        <v>99069</v>
      </c>
      <c r="K10" s="15">
        <v>47246</v>
      </c>
      <c r="L10" s="48">
        <f t="shared" si="3"/>
        <v>47.689993842675307</v>
      </c>
      <c r="M10" s="15">
        <f t="shared" si="4"/>
        <v>84916.28571428571</v>
      </c>
      <c r="N10" s="26">
        <v>0.323994</v>
      </c>
      <c r="O10" s="6">
        <v>93896</v>
      </c>
      <c r="P10" s="29">
        <v>39092.33</v>
      </c>
      <c r="Q10" s="41">
        <f t="shared" si="1"/>
        <v>41.633647865723781</v>
      </c>
      <c r="R10" s="48">
        <f t="shared" si="2"/>
        <v>28.152725824316263</v>
      </c>
      <c r="S10" s="10">
        <v>5537</v>
      </c>
      <c r="T10" s="10">
        <v>2583</v>
      </c>
      <c r="U10" s="47">
        <f t="shared" si="5"/>
        <v>46.649810366624529</v>
      </c>
      <c r="V10" s="16">
        <v>4507</v>
      </c>
      <c r="W10" s="29">
        <v>1541</v>
      </c>
      <c r="X10" s="47">
        <f t="shared" si="6"/>
        <v>34.191258043044151</v>
      </c>
      <c r="Y10" s="6">
        <v>3425</v>
      </c>
      <c r="Z10" s="6">
        <v>1684</v>
      </c>
      <c r="AA10" s="47">
        <f t="shared" si="7"/>
        <v>49.167883211678834</v>
      </c>
      <c r="AB10" s="6">
        <v>2811</v>
      </c>
      <c r="AC10" s="30">
        <v>719</v>
      </c>
      <c r="AD10" s="47">
        <f t="shared" si="8"/>
        <v>25.578086090359303</v>
      </c>
    </row>
    <row r="11" spans="1:30">
      <c r="A11" s="4">
        <v>6</v>
      </c>
      <c r="B11" s="1" t="s">
        <v>9</v>
      </c>
      <c r="C11" s="1" t="s">
        <v>4</v>
      </c>
      <c r="D11" s="2">
        <v>21</v>
      </c>
      <c r="E11" s="11">
        <v>5363.19</v>
      </c>
      <c r="F11" s="51">
        <v>322</v>
      </c>
      <c r="G11" s="18">
        <f>(19*179)+(20*224)+(60*251)+(9*270)+(0*270)</f>
        <v>25371</v>
      </c>
      <c r="H11" s="16">
        <f>0.957*E11</f>
        <v>5132.5728299999992</v>
      </c>
      <c r="I11" s="16">
        <f t="shared" si="0"/>
        <v>20.230076977651645</v>
      </c>
      <c r="J11" s="15">
        <v>22174</v>
      </c>
      <c r="K11" s="15">
        <v>11738</v>
      </c>
      <c r="L11" s="48">
        <f t="shared" si="3"/>
        <v>52.935870839722192</v>
      </c>
      <c r="M11" s="15">
        <f t="shared" si="4"/>
        <v>19006.285714285714</v>
      </c>
      <c r="N11" s="26">
        <v>0.93338500000000002</v>
      </c>
      <c r="O11" s="6">
        <v>21581</v>
      </c>
      <c r="P11" s="29">
        <v>9880.52</v>
      </c>
      <c r="Q11" s="41">
        <f t="shared" si="1"/>
        <v>45.783420601454985</v>
      </c>
      <c r="R11" s="48">
        <f t="shared" si="2"/>
        <v>25.55334362380334</v>
      </c>
      <c r="S11" s="10">
        <v>947</v>
      </c>
      <c r="T11" s="10">
        <v>425</v>
      </c>
      <c r="U11" s="47">
        <f t="shared" si="5"/>
        <v>44.87856388595565</v>
      </c>
      <c r="V11" s="16">
        <v>778</v>
      </c>
      <c r="W11" s="29">
        <v>251</v>
      </c>
      <c r="X11" s="47">
        <f t="shared" si="6"/>
        <v>32.262210796915163</v>
      </c>
      <c r="Y11" s="6">
        <v>547</v>
      </c>
      <c r="Z11" s="6">
        <v>239</v>
      </c>
      <c r="AA11" s="47">
        <f t="shared" si="7"/>
        <v>43.692870201096895</v>
      </c>
      <c r="AB11" s="6">
        <v>511</v>
      </c>
      <c r="AC11" s="30">
        <v>95</v>
      </c>
      <c r="AD11" s="28">
        <f t="shared" si="8"/>
        <v>18.590998043052835</v>
      </c>
    </row>
    <row r="12" spans="1:30">
      <c r="A12" s="4">
        <v>7</v>
      </c>
      <c r="B12" s="1" t="s">
        <v>10</v>
      </c>
      <c r="C12" s="1" t="s">
        <v>4</v>
      </c>
      <c r="D12" s="2">
        <v>17</v>
      </c>
      <c r="E12" s="11">
        <v>5305.29</v>
      </c>
      <c r="F12" s="51">
        <f>297+6</f>
        <v>303</v>
      </c>
      <c r="G12" s="18">
        <f>(19*179)+(20*224)+(60*251)+(9*270)+(0*270)</f>
        <v>25371</v>
      </c>
      <c r="H12" s="16">
        <f>0.957*E12</f>
        <v>5077.1625299999996</v>
      </c>
      <c r="I12" s="16">
        <f t="shared" si="0"/>
        <v>20.01167683575736</v>
      </c>
      <c r="J12" s="15">
        <v>22931</v>
      </c>
      <c r="K12" s="15">
        <v>11607</v>
      </c>
      <c r="L12" s="48">
        <f t="shared" si="3"/>
        <v>50.617068597095631</v>
      </c>
      <c r="M12" s="15">
        <f t="shared" si="4"/>
        <v>19655.142857142859</v>
      </c>
      <c r="N12" s="26">
        <v>1.2070909999999999</v>
      </c>
      <c r="O12" s="6">
        <v>22088</v>
      </c>
      <c r="P12" s="29">
        <v>8790.33</v>
      </c>
      <c r="Q12" s="41">
        <f t="shared" si="1"/>
        <v>39.796858022455631</v>
      </c>
      <c r="R12" s="38">
        <f t="shared" si="2"/>
        <v>19.785181186698271</v>
      </c>
      <c r="S12" s="10">
        <v>1010</v>
      </c>
      <c r="T12" s="10">
        <v>374</v>
      </c>
      <c r="U12" s="47">
        <f t="shared" si="5"/>
        <v>37.029702970297031</v>
      </c>
      <c r="V12" s="16">
        <v>742</v>
      </c>
      <c r="W12" s="29">
        <v>65</v>
      </c>
      <c r="X12" s="40">
        <f t="shared" si="6"/>
        <v>8.7601078167115904</v>
      </c>
      <c r="Y12" s="6">
        <v>580</v>
      </c>
      <c r="Z12" s="6">
        <v>240</v>
      </c>
      <c r="AA12" s="47">
        <f t="shared" si="7"/>
        <v>41.379310344827587</v>
      </c>
      <c r="AB12" s="6">
        <v>510</v>
      </c>
      <c r="AC12" s="30">
        <v>93</v>
      </c>
      <c r="AD12" s="28">
        <f t="shared" si="8"/>
        <v>18.235294117647062</v>
      </c>
    </row>
    <row r="13" spans="1:30">
      <c r="A13" s="4">
        <v>8</v>
      </c>
      <c r="B13" s="1" t="s">
        <v>11</v>
      </c>
      <c r="C13" s="1" t="s">
        <v>6</v>
      </c>
      <c r="D13" s="2">
        <v>25</v>
      </c>
      <c r="E13" s="11">
        <v>26133.97</v>
      </c>
      <c r="F13" s="51">
        <f>1458+45</f>
        <v>1503</v>
      </c>
      <c r="G13" s="18">
        <f>(360*179)+(276*224)+(6*251)+(0*270)+(0*270)</f>
        <v>127770</v>
      </c>
      <c r="H13" s="16">
        <f>1.114*E13</f>
        <v>29113.242580000006</v>
      </c>
      <c r="I13" s="16">
        <f t="shared" si="0"/>
        <v>22.785663755185102</v>
      </c>
      <c r="J13" s="15">
        <v>98069</v>
      </c>
      <c r="K13" s="15">
        <v>36928</v>
      </c>
      <c r="L13" s="48">
        <f t="shared" si="3"/>
        <v>37.655120374430247</v>
      </c>
      <c r="M13" s="15">
        <f t="shared" si="4"/>
        <v>84059.142857142855</v>
      </c>
      <c r="N13" s="26">
        <v>0.768258</v>
      </c>
      <c r="O13" s="6">
        <v>111995</v>
      </c>
      <c r="P13" s="29">
        <v>11382.55</v>
      </c>
      <c r="Q13" s="42">
        <f t="shared" si="1"/>
        <v>10.163444796642706</v>
      </c>
      <c r="R13" s="42">
        <f t="shared" si="2"/>
        <v>-12.622218958542396</v>
      </c>
      <c r="S13" s="10">
        <v>5430</v>
      </c>
      <c r="T13" s="10">
        <v>1805</v>
      </c>
      <c r="U13" s="47">
        <f t="shared" si="5"/>
        <v>33.241252302025785</v>
      </c>
      <c r="V13" s="16">
        <v>4120</v>
      </c>
      <c r="W13" s="29">
        <v>1201</v>
      </c>
      <c r="X13" s="47">
        <f t="shared" si="6"/>
        <v>29.150485436893202</v>
      </c>
      <c r="Y13" s="6">
        <v>2831</v>
      </c>
      <c r="Z13" s="6">
        <v>1018</v>
      </c>
      <c r="AA13" s="47">
        <f t="shared" si="7"/>
        <v>35.959025079477215</v>
      </c>
      <c r="AB13" s="6">
        <v>2419</v>
      </c>
      <c r="AC13" s="30">
        <v>480</v>
      </c>
      <c r="AD13" s="28">
        <f t="shared" si="8"/>
        <v>19.842910293509714</v>
      </c>
    </row>
    <row r="14" spans="1:30">
      <c r="A14" s="4">
        <v>9</v>
      </c>
      <c r="B14" s="1" t="s">
        <v>12</v>
      </c>
      <c r="C14" s="1" t="s">
        <v>6</v>
      </c>
      <c r="D14" s="2">
        <v>35</v>
      </c>
      <c r="E14" s="11">
        <v>8122.9</v>
      </c>
      <c r="F14" s="51">
        <v>344</v>
      </c>
      <c r="G14" s="18">
        <f>(1*256)+(63*299)+(64*325)</f>
        <v>39893</v>
      </c>
      <c r="H14" s="16">
        <f>1.114*E14</f>
        <v>9048.9106000000011</v>
      </c>
      <c r="I14" s="16">
        <f t="shared" si="0"/>
        <v>22.682953400345927</v>
      </c>
      <c r="J14" s="15">
        <v>41273</v>
      </c>
      <c r="K14" s="15">
        <v>22114</v>
      </c>
      <c r="L14" s="48">
        <f t="shared" si="3"/>
        <v>53.579822159765463</v>
      </c>
      <c r="M14" s="15">
        <f t="shared" si="4"/>
        <v>35376.857142857145</v>
      </c>
      <c r="N14" s="26">
        <v>1.7747599999999999</v>
      </c>
      <c r="O14" s="6">
        <v>30558</v>
      </c>
      <c r="P14" s="29">
        <v>5594.54</v>
      </c>
      <c r="Q14" s="38">
        <f t="shared" si="1"/>
        <v>18.307939001243536</v>
      </c>
      <c r="R14" s="42">
        <f t="shared" si="2"/>
        <v>-4.3750143991023904</v>
      </c>
      <c r="S14" s="10">
        <v>1098</v>
      </c>
      <c r="T14" s="10">
        <v>404</v>
      </c>
      <c r="U14" s="47">
        <f t="shared" si="5"/>
        <v>36.794171220400727</v>
      </c>
      <c r="V14" s="16">
        <v>851</v>
      </c>
      <c r="W14" s="29">
        <v>87</v>
      </c>
      <c r="X14" s="40">
        <f t="shared" si="6"/>
        <v>10.223266745005876</v>
      </c>
      <c r="Y14" s="6">
        <v>646</v>
      </c>
      <c r="Z14" s="6">
        <v>249</v>
      </c>
      <c r="AA14" s="47">
        <f t="shared" si="7"/>
        <v>38.544891640866872</v>
      </c>
      <c r="AB14" s="6">
        <v>558</v>
      </c>
      <c r="AC14" s="30">
        <v>81</v>
      </c>
      <c r="AD14" s="28">
        <f t="shared" si="8"/>
        <v>14.516129032258064</v>
      </c>
    </row>
    <row r="15" spans="1:30">
      <c r="A15" s="4">
        <v>10</v>
      </c>
      <c r="B15" s="1" t="s">
        <v>13</v>
      </c>
      <c r="C15" s="1" t="s">
        <v>1</v>
      </c>
      <c r="D15" s="2">
        <v>8</v>
      </c>
      <c r="E15" s="11">
        <v>6845.8</v>
      </c>
      <c r="F15" s="51">
        <v>410</v>
      </c>
      <c r="G15" s="18">
        <f>(28*179)+(29*224)+(76*251)+(9*270)+(0*270)</f>
        <v>33014</v>
      </c>
      <c r="H15" s="16">
        <f>0.957*E15</f>
        <v>6551.4305999999997</v>
      </c>
      <c r="I15" s="16">
        <f t="shared" si="0"/>
        <v>19.844401163142908</v>
      </c>
      <c r="J15" s="15">
        <v>25101</v>
      </c>
      <c r="K15" s="15">
        <v>9718</v>
      </c>
      <c r="L15" s="48">
        <f t="shared" si="3"/>
        <v>38.715589020357754</v>
      </c>
      <c r="M15" s="15">
        <f t="shared" si="4"/>
        <v>21515.142857142859</v>
      </c>
      <c r="N15" s="26">
        <v>0.996533</v>
      </c>
      <c r="O15" s="6">
        <v>23675</v>
      </c>
      <c r="P15" s="29">
        <v>6875.61</v>
      </c>
      <c r="Q15" s="41">
        <f t="shared" si="1"/>
        <v>29.041647307286166</v>
      </c>
      <c r="R15" s="42">
        <f t="shared" si="2"/>
        <v>9.1972461441432571</v>
      </c>
      <c r="S15" s="10">
        <v>1372</v>
      </c>
      <c r="T15" s="10">
        <v>-82</v>
      </c>
      <c r="U15" s="39">
        <f t="shared" si="5"/>
        <v>-5.9766763848396502</v>
      </c>
      <c r="V15" s="16">
        <v>1007</v>
      </c>
      <c r="W15" s="29">
        <v>74</v>
      </c>
      <c r="X15" s="40">
        <f t="shared" si="6"/>
        <v>7.3485600794438923</v>
      </c>
      <c r="Y15" s="6">
        <v>695</v>
      </c>
      <c r="Z15" s="6">
        <v>-202</v>
      </c>
      <c r="AA15" s="40">
        <f t="shared" si="7"/>
        <v>-29.064748201438849</v>
      </c>
      <c r="AB15" s="6">
        <v>629</v>
      </c>
      <c r="AC15" s="30">
        <v>43</v>
      </c>
      <c r="AD15" s="40">
        <f t="shared" si="8"/>
        <v>6.8362480127186007</v>
      </c>
    </row>
    <row r="16" spans="1:30">
      <c r="A16" s="4">
        <v>11</v>
      </c>
      <c r="B16" s="1" t="s">
        <v>14</v>
      </c>
      <c r="C16" s="1" t="s">
        <v>6</v>
      </c>
      <c r="D16" s="2">
        <v>31</v>
      </c>
      <c r="E16" s="11">
        <v>8662.4</v>
      </c>
      <c r="F16" s="51">
        <v>478</v>
      </c>
      <c r="G16" s="18">
        <f>(120*179)+(92*224)+(2*251)+(0*270)+(0*270)</f>
        <v>42590</v>
      </c>
      <c r="H16" s="16">
        <f t="shared" ref="H16:H24" si="9">1.114*E16</f>
        <v>9649.9135999999999</v>
      </c>
      <c r="I16" s="16">
        <f t="shared" si="0"/>
        <v>22.657698051185726</v>
      </c>
      <c r="J16" s="15">
        <v>35280</v>
      </c>
      <c r="K16" s="15">
        <v>19150</v>
      </c>
      <c r="L16" s="48">
        <f t="shared" si="3"/>
        <v>54.280045351473923</v>
      </c>
      <c r="M16" s="15">
        <f t="shared" si="4"/>
        <v>30240</v>
      </c>
      <c r="N16" s="26">
        <v>1.229282</v>
      </c>
      <c r="O16" s="6">
        <v>33890</v>
      </c>
      <c r="P16" s="29">
        <v>15537.83</v>
      </c>
      <c r="Q16" s="41">
        <f t="shared" si="1"/>
        <v>45.847831218648572</v>
      </c>
      <c r="R16" s="48">
        <f t="shared" si="2"/>
        <v>23.190133167462847</v>
      </c>
      <c r="S16" s="10">
        <v>1776</v>
      </c>
      <c r="T16" s="10">
        <v>848</v>
      </c>
      <c r="U16" s="47">
        <f t="shared" si="5"/>
        <v>47.747747747747745</v>
      </c>
      <c r="V16" s="16">
        <v>1294</v>
      </c>
      <c r="W16" s="29">
        <v>327</v>
      </c>
      <c r="X16" s="47">
        <f t="shared" si="6"/>
        <v>25.270479134466772</v>
      </c>
      <c r="Y16" s="6">
        <v>814</v>
      </c>
      <c r="Z16" s="6">
        <v>313</v>
      </c>
      <c r="AA16" s="47">
        <f t="shared" si="7"/>
        <v>38.452088452088447</v>
      </c>
      <c r="AB16" s="6">
        <v>731</v>
      </c>
      <c r="AC16" s="30">
        <v>132</v>
      </c>
      <c r="AD16" s="28">
        <f t="shared" si="8"/>
        <v>18.057455540355679</v>
      </c>
    </row>
    <row r="17" spans="1:30">
      <c r="A17" s="4">
        <v>12</v>
      </c>
      <c r="B17" s="1" t="s">
        <v>15</v>
      </c>
      <c r="C17" s="1" t="s">
        <v>4</v>
      </c>
      <c r="D17" s="2">
        <v>29</v>
      </c>
      <c r="E17" s="11">
        <v>8106</v>
      </c>
      <c r="F17" s="51">
        <v>348</v>
      </c>
      <c r="G17" s="18">
        <f t="shared" ref="G17:G23" si="10">(1*256)+(63*299)+(64*325)</f>
        <v>39893</v>
      </c>
      <c r="H17" s="16">
        <f t="shared" si="9"/>
        <v>9030.0840000000007</v>
      </c>
      <c r="I17" s="16">
        <f t="shared" si="0"/>
        <v>22.635760659764873</v>
      </c>
      <c r="J17" s="15">
        <v>38390</v>
      </c>
      <c r="K17" s="15">
        <v>19085</v>
      </c>
      <c r="L17" s="48">
        <f t="shared" si="3"/>
        <v>49.713467048710605</v>
      </c>
      <c r="M17" s="15">
        <f t="shared" si="4"/>
        <v>32905.71428571429</v>
      </c>
      <c r="N17" s="26">
        <v>1.2096910000000001</v>
      </c>
      <c r="O17" s="6">
        <v>35685</v>
      </c>
      <c r="P17" s="29">
        <v>14596.11</v>
      </c>
      <c r="Q17" s="41">
        <f t="shared" si="1"/>
        <v>40.90264817150063</v>
      </c>
      <c r="R17" s="38">
        <f t="shared" si="2"/>
        <v>18.266887511735757</v>
      </c>
      <c r="S17" s="10">
        <v>1146</v>
      </c>
      <c r="T17" s="10">
        <v>448</v>
      </c>
      <c r="U17" s="47">
        <f t="shared" si="5"/>
        <v>39.092495636998251</v>
      </c>
      <c r="V17" s="16">
        <v>856</v>
      </c>
      <c r="W17" s="29">
        <v>166</v>
      </c>
      <c r="X17" s="28">
        <f t="shared" si="6"/>
        <v>19.392523364485982</v>
      </c>
      <c r="Y17" s="6">
        <v>679</v>
      </c>
      <c r="Z17" s="6">
        <v>288</v>
      </c>
      <c r="AA17" s="47">
        <f t="shared" si="7"/>
        <v>42.415316642120764</v>
      </c>
      <c r="AB17" s="6">
        <v>625</v>
      </c>
      <c r="AC17" s="30">
        <v>157</v>
      </c>
      <c r="AD17" s="47">
        <f t="shared" si="8"/>
        <v>25.12</v>
      </c>
    </row>
    <row r="18" spans="1:30">
      <c r="A18" s="4">
        <v>13</v>
      </c>
      <c r="B18" s="1" t="s">
        <v>16</v>
      </c>
      <c r="C18" s="1" t="s">
        <v>4</v>
      </c>
      <c r="D18" s="2">
        <v>31</v>
      </c>
      <c r="E18" s="11">
        <v>8067.65</v>
      </c>
      <c r="F18" s="51">
        <v>318</v>
      </c>
      <c r="G18" s="18">
        <f t="shared" si="10"/>
        <v>39893</v>
      </c>
      <c r="H18" s="16">
        <f t="shared" si="9"/>
        <v>8987.3621000000003</v>
      </c>
      <c r="I18" s="16">
        <f t="shared" si="0"/>
        <v>22.528669440754019</v>
      </c>
      <c r="J18" s="15">
        <v>39397</v>
      </c>
      <c r="K18" s="15">
        <v>7890</v>
      </c>
      <c r="L18" s="38">
        <f t="shared" si="3"/>
        <v>20.026905601949384</v>
      </c>
      <c r="M18" s="15">
        <f t="shared" si="4"/>
        <v>33768.857142857145</v>
      </c>
      <c r="N18" s="26">
        <v>0.34209299999999998</v>
      </c>
      <c r="O18" s="6">
        <v>36707</v>
      </c>
      <c r="P18" s="29">
        <v>13032.53</v>
      </c>
      <c r="Q18" s="41">
        <f t="shared" si="1"/>
        <v>35.504209006456534</v>
      </c>
      <c r="R18" s="38">
        <f t="shared" si="2"/>
        <v>12.975539565702515</v>
      </c>
      <c r="S18" s="10">
        <v>1263</v>
      </c>
      <c r="T18" s="10">
        <v>568</v>
      </c>
      <c r="U18" s="47">
        <f t="shared" si="5"/>
        <v>44.972288202691999</v>
      </c>
      <c r="V18" s="16">
        <v>882</v>
      </c>
      <c r="W18" s="29">
        <v>180</v>
      </c>
      <c r="X18" s="28">
        <f t="shared" si="6"/>
        <v>20.408163265306122</v>
      </c>
      <c r="Y18" s="6">
        <v>688</v>
      </c>
      <c r="Z18" s="6">
        <v>322</v>
      </c>
      <c r="AA18" s="47">
        <f t="shared" si="7"/>
        <v>46.802325581395351</v>
      </c>
      <c r="AB18" s="6">
        <v>614</v>
      </c>
      <c r="AC18" s="30">
        <v>162</v>
      </c>
      <c r="AD18" s="47">
        <f t="shared" si="8"/>
        <v>26.384364820846908</v>
      </c>
    </row>
    <row r="19" spans="1:30">
      <c r="A19" s="4">
        <v>14</v>
      </c>
      <c r="B19" s="1" t="s">
        <v>17</v>
      </c>
      <c r="C19" s="1" t="s">
        <v>1</v>
      </c>
      <c r="D19" s="2">
        <v>10</v>
      </c>
      <c r="E19" s="11">
        <v>6093</v>
      </c>
      <c r="F19" s="51">
        <v>275</v>
      </c>
      <c r="G19" s="18">
        <f>(1*256)+(47*299)+(48*325)</f>
        <v>29909</v>
      </c>
      <c r="H19" s="16">
        <f t="shared" si="9"/>
        <v>6787.6020000000008</v>
      </c>
      <c r="I19" s="16">
        <f t="shared" si="0"/>
        <v>22.694179009662648</v>
      </c>
      <c r="J19" s="15">
        <v>26691</v>
      </c>
      <c r="K19" s="15">
        <v>11628</v>
      </c>
      <c r="L19" s="48">
        <f t="shared" si="3"/>
        <v>43.56524671237495</v>
      </c>
      <c r="M19" s="15">
        <f t="shared" si="4"/>
        <v>22878</v>
      </c>
      <c r="N19" s="26">
        <v>1.1475280000000001</v>
      </c>
      <c r="O19" s="6">
        <v>25244</v>
      </c>
      <c r="P19" s="29">
        <v>10855.92</v>
      </c>
      <c r="Q19" s="41">
        <f t="shared" si="1"/>
        <v>43.003961337347491</v>
      </c>
      <c r="R19" s="38">
        <f t="shared" si="2"/>
        <v>20.309782327684843</v>
      </c>
      <c r="S19" s="10">
        <v>816</v>
      </c>
      <c r="T19" s="10">
        <v>223</v>
      </c>
      <c r="U19" s="47">
        <f t="shared" si="5"/>
        <v>27.328431372549019</v>
      </c>
      <c r="V19" s="16">
        <v>600</v>
      </c>
      <c r="W19" s="29">
        <v>120</v>
      </c>
      <c r="X19" s="28">
        <f t="shared" si="6"/>
        <v>20</v>
      </c>
      <c r="Y19" s="6">
        <v>481</v>
      </c>
      <c r="Z19" s="6">
        <v>225</v>
      </c>
      <c r="AA19" s="47">
        <f t="shared" si="7"/>
        <v>46.777546777546782</v>
      </c>
      <c r="AB19" s="6">
        <v>410</v>
      </c>
      <c r="AC19" s="30">
        <v>120</v>
      </c>
      <c r="AD19" s="47">
        <f t="shared" si="8"/>
        <v>29.26829268292683</v>
      </c>
    </row>
    <row r="20" spans="1:30">
      <c r="A20" s="4">
        <v>15</v>
      </c>
      <c r="B20" s="1" t="s">
        <v>18</v>
      </c>
      <c r="C20" s="1" t="s">
        <v>1</v>
      </c>
      <c r="D20" s="2" t="s">
        <v>19</v>
      </c>
      <c r="E20" s="11">
        <v>5589.3</v>
      </c>
      <c r="F20" s="51">
        <v>285</v>
      </c>
      <c r="G20" s="18">
        <f>(5*256)+(42*299)+(41*325)+(6*343)</f>
        <v>29221</v>
      </c>
      <c r="H20" s="16">
        <f t="shared" si="9"/>
        <v>6226.4802000000009</v>
      </c>
      <c r="I20" s="16">
        <f t="shared" si="0"/>
        <v>21.308237911091343</v>
      </c>
      <c r="J20" s="15">
        <v>32596</v>
      </c>
      <c r="K20" s="15">
        <v>17168</v>
      </c>
      <c r="L20" s="48">
        <f t="shared" si="3"/>
        <v>52.669039145907476</v>
      </c>
      <c r="M20" s="15">
        <f t="shared" si="4"/>
        <v>27939.428571428572</v>
      </c>
      <c r="N20" s="26">
        <v>2.0442330000000002</v>
      </c>
      <c r="O20" s="6">
        <v>30685</v>
      </c>
      <c r="P20" s="29">
        <v>13253.87</v>
      </c>
      <c r="Q20" s="41">
        <f t="shared" si="1"/>
        <v>43.193319211341048</v>
      </c>
      <c r="R20" s="48">
        <f t="shared" si="2"/>
        <v>21.885081300249706</v>
      </c>
      <c r="S20" s="10">
        <v>929</v>
      </c>
      <c r="T20" s="10">
        <v>368</v>
      </c>
      <c r="U20" s="47">
        <f t="shared" si="5"/>
        <v>39.612486544671697</v>
      </c>
      <c r="V20" s="16">
        <v>630</v>
      </c>
      <c r="W20" s="29">
        <v>34</v>
      </c>
      <c r="X20" s="40">
        <f t="shared" si="6"/>
        <v>5.3968253968253972</v>
      </c>
      <c r="Y20" s="6">
        <v>559</v>
      </c>
      <c r="Z20" s="6">
        <v>237</v>
      </c>
      <c r="AA20" s="47">
        <f t="shared" si="7"/>
        <v>42.397137745974959</v>
      </c>
      <c r="AB20" s="6">
        <v>516</v>
      </c>
      <c r="AC20" s="30">
        <v>96</v>
      </c>
      <c r="AD20" s="28">
        <f t="shared" si="8"/>
        <v>18.604651162790699</v>
      </c>
    </row>
    <row r="21" spans="1:30">
      <c r="A21" s="4">
        <v>16</v>
      </c>
      <c r="B21" s="1" t="s">
        <v>20</v>
      </c>
      <c r="C21" s="1" t="s">
        <v>1</v>
      </c>
      <c r="D21" s="2">
        <v>6</v>
      </c>
      <c r="E21" s="11">
        <v>4515.3500000000004</v>
      </c>
      <c r="F21" s="51">
        <v>126</v>
      </c>
      <c r="G21" s="18">
        <f>(0*256)+(21*299)+(19*325)+(20*343)</f>
        <v>19314</v>
      </c>
      <c r="H21" s="16">
        <f t="shared" si="9"/>
        <v>5030.0999000000011</v>
      </c>
      <c r="I21" s="16">
        <f t="shared" si="0"/>
        <v>26.043801905353636</v>
      </c>
      <c r="J21" s="15">
        <v>20898</v>
      </c>
      <c r="K21" s="15">
        <v>10488</v>
      </c>
      <c r="L21" s="48">
        <f t="shared" si="3"/>
        <v>50.18662072925639</v>
      </c>
      <c r="M21" s="15">
        <f t="shared" si="4"/>
        <v>17912.571428571428</v>
      </c>
      <c r="N21" s="26">
        <v>1.4529540000000001</v>
      </c>
      <c r="O21" s="6">
        <v>20539</v>
      </c>
      <c r="P21" s="29">
        <v>6252.01</v>
      </c>
      <c r="Q21" s="41">
        <f t="shared" si="1"/>
        <v>30.43970008276937</v>
      </c>
      <c r="R21" s="42">
        <f t="shared" si="2"/>
        <v>4.3958981774157344</v>
      </c>
      <c r="S21" s="10">
        <v>593</v>
      </c>
      <c r="T21" s="10">
        <v>245</v>
      </c>
      <c r="U21" s="47">
        <f t="shared" si="5"/>
        <v>41.315345699831369</v>
      </c>
      <c r="V21" s="16">
        <v>404</v>
      </c>
      <c r="W21" s="29">
        <v>6</v>
      </c>
      <c r="X21" s="40">
        <f t="shared" si="6"/>
        <v>1.4851485148514851</v>
      </c>
      <c r="Y21" s="6">
        <v>293</v>
      </c>
      <c r="Z21" s="6">
        <v>114</v>
      </c>
      <c r="AA21" s="47">
        <f t="shared" si="7"/>
        <v>38.907849829351534</v>
      </c>
      <c r="AB21" s="6">
        <v>299</v>
      </c>
      <c r="AC21" s="30">
        <v>10</v>
      </c>
      <c r="AD21" s="40">
        <f t="shared" si="8"/>
        <v>3.3444816053511701</v>
      </c>
    </row>
    <row r="22" spans="1:30">
      <c r="A22" s="4">
        <v>17</v>
      </c>
      <c r="B22" s="1" t="s">
        <v>21</v>
      </c>
      <c r="C22" s="1" t="s">
        <v>4</v>
      </c>
      <c r="D22" s="2" t="s">
        <v>22</v>
      </c>
      <c r="E22" s="11">
        <v>5279.8</v>
      </c>
      <c r="F22" s="51">
        <v>279</v>
      </c>
      <c r="G22" s="18">
        <f>(47*256)+(32*299)+(32*325)</f>
        <v>32000</v>
      </c>
      <c r="H22" s="16">
        <f t="shared" si="9"/>
        <v>5881.6972000000005</v>
      </c>
      <c r="I22" s="16">
        <f t="shared" si="0"/>
        <v>18.380303750000003</v>
      </c>
      <c r="J22" s="15">
        <v>29232</v>
      </c>
      <c r="K22" s="15">
        <v>12616</v>
      </c>
      <c r="L22" s="48">
        <f t="shared" si="3"/>
        <v>43.158182813355225</v>
      </c>
      <c r="M22" s="15">
        <f t="shared" si="4"/>
        <v>25056</v>
      </c>
      <c r="N22" s="26">
        <v>1.1476040000000001</v>
      </c>
      <c r="O22" s="6">
        <v>26806</v>
      </c>
      <c r="P22" s="29">
        <v>8907.2900000000009</v>
      </c>
      <c r="Q22" s="41">
        <f t="shared" si="1"/>
        <v>33.228717451316875</v>
      </c>
      <c r="R22" s="38">
        <f t="shared" si="2"/>
        <v>14.848413701316872</v>
      </c>
      <c r="S22" s="10">
        <v>842</v>
      </c>
      <c r="T22" s="10">
        <v>-519</v>
      </c>
      <c r="U22" s="39">
        <f t="shared" si="5"/>
        <v>-61.63895486935867</v>
      </c>
      <c r="V22" s="16">
        <v>714</v>
      </c>
      <c r="W22" s="29">
        <v>-35</v>
      </c>
      <c r="X22" s="40">
        <f t="shared" si="6"/>
        <v>-4.9019607843137258</v>
      </c>
      <c r="Y22" s="14">
        <v>403</v>
      </c>
      <c r="Z22" s="14">
        <v>-295</v>
      </c>
      <c r="AA22" s="40">
        <f t="shared" si="7"/>
        <v>-73.200992555831263</v>
      </c>
      <c r="AB22" s="30">
        <v>546</v>
      </c>
      <c r="AC22" s="30">
        <v>91</v>
      </c>
      <c r="AD22" s="28">
        <f t="shared" si="8"/>
        <v>16.666666666666668</v>
      </c>
    </row>
    <row r="23" spans="1:30">
      <c r="A23" s="4">
        <v>18</v>
      </c>
      <c r="B23" s="1" t="s">
        <v>23</v>
      </c>
      <c r="C23" s="1" t="s">
        <v>4</v>
      </c>
      <c r="D23" s="2" t="s">
        <v>24</v>
      </c>
      <c r="E23" s="11">
        <v>5278.9</v>
      </c>
      <c r="F23" s="51">
        <v>252</v>
      </c>
      <c r="G23" s="18">
        <f t="shared" si="10"/>
        <v>39893</v>
      </c>
      <c r="H23" s="16">
        <f t="shared" si="9"/>
        <v>5880.6945999999998</v>
      </c>
      <c r="I23" s="16">
        <f t="shared" si="0"/>
        <v>14.741169127415837</v>
      </c>
      <c r="J23" s="15">
        <v>31279</v>
      </c>
      <c r="K23" s="15">
        <v>17573</v>
      </c>
      <c r="L23" s="48">
        <f t="shared" si="3"/>
        <v>56.181463601777544</v>
      </c>
      <c r="M23" s="15">
        <f t="shared" si="4"/>
        <v>26810.571428571428</v>
      </c>
      <c r="N23" s="26">
        <v>1.876619</v>
      </c>
      <c r="O23" s="6">
        <v>28166</v>
      </c>
      <c r="P23" s="29">
        <v>12655.07</v>
      </c>
      <c r="Q23" s="41">
        <f t="shared" si="1"/>
        <v>44.930306042746572</v>
      </c>
      <c r="R23" s="48">
        <f t="shared" si="2"/>
        <v>30.189136915330735</v>
      </c>
      <c r="S23" s="10">
        <v>761</v>
      </c>
      <c r="T23" s="10">
        <v>-457</v>
      </c>
      <c r="U23" s="39">
        <f t="shared" si="5"/>
        <v>-60.052562417871222</v>
      </c>
      <c r="V23" s="16">
        <v>806</v>
      </c>
      <c r="W23" s="29">
        <v>58</v>
      </c>
      <c r="X23" s="40">
        <f t="shared" si="6"/>
        <v>7.1960297766749379</v>
      </c>
      <c r="Y23" s="14">
        <v>425</v>
      </c>
      <c r="Z23" s="14">
        <v>-256</v>
      </c>
      <c r="AA23" s="40">
        <f t="shared" si="7"/>
        <v>-60.235294117647058</v>
      </c>
      <c r="AB23" s="30">
        <v>627</v>
      </c>
      <c r="AC23" s="30">
        <v>197</v>
      </c>
      <c r="AD23" s="47">
        <f t="shared" si="8"/>
        <v>31.41945773524721</v>
      </c>
    </row>
    <row r="24" spans="1:30">
      <c r="A24" s="4">
        <v>19</v>
      </c>
      <c r="B24" s="1" t="s">
        <v>25</v>
      </c>
      <c r="C24" s="1" t="s">
        <v>6</v>
      </c>
      <c r="D24" s="2">
        <v>49</v>
      </c>
      <c r="E24" s="11">
        <v>29506.560000000001</v>
      </c>
      <c r="F24" s="51">
        <f>1464+18</f>
        <v>1482</v>
      </c>
      <c r="G24" s="18">
        <f>(22*179)+(236*224)+(234*251)+(22*270)+(0*270)</f>
        <v>121476</v>
      </c>
      <c r="H24" s="16">
        <f t="shared" si="9"/>
        <v>32870.307840000001</v>
      </c>
      <c r="I24" s="16">
        <f t="shared" si="0"/>
        <v>27.059096315321547</v>
      </c>
      <c r="J24" s="15">
        <v>97160</v>
      </c>
      <c r="K24" s="15">
        <v>46041</v>
      </c>
      <c r="L24" s="48">
        <f t="shared" si="3"/>
        <v>47.386784685055581</v>
      </c>
      <c r="M24" s="15">
        <f t="shared" si="4"/>
        <v>83280</v>
      </c>
      <c r="N24" s="26">
        <v>0.55442599999999997</v>
      </c>
      <c r="O24" s="6">
        <v>93381</v>
      </c>
      <c r="P24" s="29">
        <v>34891.629999999997</v>
      </c>
      <c r="Q24" s="41">
        <f t="shared" si="1"/>
        <v>37.364806545228689</v>
      </c>
      <c r="R24" s="42">
        <f t="shared" si="2"/>
        <v>10.305710229907142</v>
      </c>
      <c r="S24" s="10">
        <v>5323</v>
      </c>
      <c r="T24" s="10">
        <v>2543</v>
      </c>
      <c r="U24" s="47">
        <f t="shared" si="5"/>
        <v>47.773811760285554</v>
      </c>
      <c r="V24" s="16">
        <v>4115</v>
      </c>
      <c r="W24" s="29">
        <v>1251</v>
      </c>
      <c r="X24" s="47">
        <f t="shared" si="6"/>
        <v>30.40097205346294</v>
      </c>
      <c r="Y24" s="6">
        <v>2735</v>
      </c>
      <c r="Z24" s="6">
        <v>1061</v>
      </c>
      <c r="AA24" s="47">
        <f t="shared" si="7"/>
        <v>38.793418647166362</v>
      </c>
      <c r="AB24" s="6">
        <v>2505</v>
      </c>
      <c r="AC24" s="30">
        <v>614</v>
      </c>
      <c r="AD24" s="47">
        <f t="shared" si="8"/>
        <v>24.510978043912175</v>
      </c>
    </row>
    <row r="25" spans="1:30">
      <c r="A25" s="4">
        <v>20</v>
      </c>
      <c r="B25" s="1" t="s">
        <v>26</v>
      </c>
      <c r="C25" s="1" t="s">
        <v>6</v>
      </c>
      <c r="D25" s="2">
        <v>47</v>
      </c>
      <c r="E25" s="11">
        <v>17706.400000000001</v>
      </c>
      <c r="F25" s="51">
        <f>1016+15</f>
        <v>1031</v>
      </c>
      <c r="G25" s="18">
        <f>(73*179)+(89*224)+(186*251)+(9*270)+(0*270)</f>
        <v>82119</v>
      </c>
      <c r="H25" s="16">
        <f t="shared" ref="H25:H31" si="11">0.957*E25</f>
        <v>16945.024799999999</v>
      </c>
      <c r="I25" s="16">
        <f t="shared" si="0"/>
        <v>20.634718883571399</v>
      </c>
      <c r="J25" s="15">
        <v>66639</v>
      </c>
      <c r="K25" s="15">
        <v>35009</v>
      </c>
      <c r="L25" s="48">
        <f t="shared" si="3"/>
        <v>52.535302150392411</v>
      </c>
      <c r="M25" s="15">
        <f t="shared" si="4"/>
        <v>57119.142857142855</v>
      </c>
      <c r="N25" s="26">
        <v>1.0673900000000001</v>
      </c>
      <c r="O25" s="6">
        <v>64178</v>
      </c>
      <c r="P25" s="29">
        <v>25650.51</v>
      </c>
      <c r="Q25" s="41">
        <f t="shared" si="1"/>
        <v>39.967761538221822</v>
      </c>
      <c r="R25" s="38">
        <f t="shared" si="2"/>
        <v>19.333042654650423</v>
      </c>
      <c r="S25" s="10">
        <v>3123</v>
      </c>
      <c r="T25" s="10">
        <v>1313</v>
      </c>
      <c r="U25" s="47">
        <f t="shared" si="5"/>
        <v>42.042907460774899</v>
      </c>
      <c r="V25" s="16">
        <v>2403</v>
      </c>
      <c r="W25" s="29">
        <v>-60</v>
      </c>
      <c r="X25" s="40">
        <f t="shared" si="6"/>
        <v>-2.4968789013732833</v>
      </c>
      <c r="Y25" s="6">
        <v>2035</v>
      </c>
      <c r="Z25" s="6">
        <v>945</v>
      </c>
      <c r="AA25" s="47">
        <f t="shared" si="7"/>
        <v>46.437346437346434</v>
      </c>
      <c r="AB25" s="6">
        <v>1771</v>
      </c>
      <c r="AC25" s="30">
        <v>211</v>
      </c>
      <c r="AD25" s="28">
        <f t="shared" si="8"/>
        <v>11.914172783738001</v>
      </c>
    </row>
    <row r="26" spans="1:30">
      <c r="A26" s="4">
        <v>21</v>
      </c>
      <c r="B26" s="1" t="s">
        <v>27</v>
      </c>
      <c r="C26" s="1" t="s">
        <v>6</v>
      </c>
      <c r="D26" s="2">
        <v>39</v>
      </c>
      <c r="E26" s="11">
        <v>14219.9</v>
      </c>
      <c r="F26" s="51">
        <v>745</v>
      </c>
      <c r="G26" s="18">
        <f>(71*179)+(79*224)+(137*251)+(0*270)+(0*270)</f>
        <v>64792</v>
      </c>
      <c r="H26" s="16">
        <f t="shared" si="11"/>
        <v>13608.444299999999</v>
      </c>
      <c r="I26" s="16">
        <f t="shared" si="0"/>
        <v>21.003278645511791</v>
      </c>
      <c r="J26" s="15">
        <v>50250</v>
      </c>
      <c r="K26" s="15">
        <v>25492</v>
      </c>
      <c r="L26" s="48">
        <f t="shared" si="3"/>
        <v>50.730348258706471</v>
      </c>
      <c r="M26" s="15">
        <f t="shared" si="4"/>
        <v>43071.428571428572</v>
      </c>
      <c r="N26" s="26">
        <v>0.75478000000000001</v>
      </c>
      <c r="O26" s="6">
        <v>48270</v>
      </c>
      <c r="P26" s="29">
        <v>16135.28</v>
      </c>
      <c r="Q26" s="41">
        <f t="shared" si="1"/>
        <v>33.427139009736898</v>
      </c>
      <c r="R26" s="38">
        <f t="shared" si="2"/>
        <v>12.423860364225106</v>
      </c>
      <c r="S26" s="10">
        <v>2302</v>
      </c>
      <c r="T26" s="10">
        <v>937</v>
      </c>
      <c r="U26" s="47">
        <f t="shared" si="5"/>
        <v>40.70373588184188</v>
      </c>
      <c r="V26" s="16">
        <v>1659</v>
      </c>
      <c r="W26" s="29">
        <v>405</v>
      </c>
      <c r="X26" s="47">
        <f t="shared" si="6"/>
        <v>24.412296564195298</v>
      </c>
      <c r="Y26" s="6">
        <v>1517</v>
      </c>
      <c r="Z26" s="6">
        <v>703</v>
      </c>
      <c r="AA26" s="47">
        <f t="shared" si="7"/>
        <v>46.341463414634148</v>
      </c>
      <c r="AB26" s="6">
        <v>1462</v>
      </c>
      <c r="AC26" s="30">
        <v>481</v>
      </c>
      <c r="AD26" s="47">
        <f t="shared" si="8"/>
        <v>32.900136798905613</v>
      </c>
    </row>
    <row r="27" spans="1:30">
      <c r="A27" s="4">
        <v>22</v>
      </c>
      <c r="B27" s="1" t="s">
        <v>28</v>
      </c>
      <c r="C27" s="1" t="s">
        <v>4</v>
      </c>
      <c r="D27" s="2">
        <v>16</v>
      </c>
      <c r="E27" s="11">
        <v>10579.85</v>
      </c>
      <c r="F27" s="51">
        <v>614</v>
      </c>
      <c r="G27" s="18">
        <f>(6*179)+(130*224)+(71*251)+(9*270)+(0*270)</f>
        <v>50445</v>
      </c>
      <c r="H27" s="16">
        <f t="shared" si="11"/>
        <v>10124.916450000001</v>
      </c>
      <c r="I27" s="16">
        <f t="shared" si="0"/>
        <v>20.071199226880761</v>
      </c>
      <c r="J27" s="15">
        <v>35578</v>
      </c>
      <c r="K27" s="15">
        <v>13678</v>
      </c>
      <c r="L27" s="48">
        <f t="shared" si="3"/>
        <v>38.44510652650515</v>
      </c>
      <c r="M27" s="15">
        <f t="shared" si="4"/>
        <v>30495.428571428572</v>
      </c>
      <c r="N27" s="26">
        <v>0.46975299999999998</v>
      </c>
      <c r="O27" s="6">
        <v>41008</v>
      </c>
      <c r="P27" s="29">
        <v>16062.57</v>
      </c>
      <c r="Q27" s="41">
        <f t="shared" si="1"/>
        <v>39.169357198595399</v>
      </c>
      <c r="R27" s="38">
        <f t="shared" si="2"/>
        <v>19.098157971714638</v>
      </c>
      <c r="S27" s="10">
        <v>2045</v>
      </c>
      <c r="T27" s="10">
        <v>797</v>
      </c>
      <c r="U27" s="47">
        <f t="shared" si="5"/>
        <v>38.973105134474331</v>
      </c>
      <c r="V27" s="16">
        <v>1474</v>
      </c>
      <c r="W27" s="29">
        <v>253</v>
      </c>
      <c r="X27" s="28">
        <f t="shared" si="6"/>
        <v>17.164179104477611</v>
      </c>
      <c r="Y27" s="6">
        <v>1084</v>
      </c>
      <c r="Z27" s="6">
        <v>358</v>
      </c>
      <c r="AA27" s="47">
        <f t="shared" si="7"/>
        <v>33.025830258302584</v>
      </c>
      <c r="AB27" s="6">
        <v>1009</v>
      </c>
      <c r="AC27" s="30">
        <v>188</v>
      </c>
      <c r="AD27" s="28">
        <f t="shared" si="8"/>
        <v>18.632309217046583</v>
      </c>
    </row>
    <row r="28" spans="1:30">
      <c r="A28" s="4">
        <v>23</v>
      </c>
      <c r="B28" s="1" t="s">
        <v>29</v>
      </c>
      <c r="C28" s="1" t="s">
        <v>4</v>
      </c>
      <c r="D28" s="2">
        <v>20</v>
      </c>
      <c r="E28" s="11">
        <v>5247.32</v>
      </c>
      <c r="F28" s="51">
        <v>311</v>
      </c>
      <c r="G28" s="18">
        <f>(19*179)+(20*224)+(60*251)+(9*270)+(0*270)</f>
        <v>25371</v>
      </c>
      <c r="H28" s="16">
        <f t="shared" si="11"/>
        <v>5021.6852399999998</v>
      </c>
      <c r="I28" s="16">
        <f t="shared" si="0"/>
        <v>19.793012652240744</v>
      </c>
      <c r="J28" s="15">
        <v>17342</v>
      </c>
      <c r="K28" s="15">
        <v>5742</v>
      </c>
      <c r="L28" s="48">
        <f t="shared" si="3"/>
        <v>33.110367892976591</v>
      </c>
      <c r="M28" s="15">
        <f t="shared" si="4"/>
        <v>14864.571428571428</v>
      </c>
      <c r="N28" s="26">
        <v>0.53896299999999997</v>
      </c>
      <c r="O28" s="6">
        <v>21211</v>
      </c>
      <c r="P28" s="29">
        <v>6755.6</v>
      </c>
      <c r="Q28" s="41">
        <f t="shared" si="1"/>
        <v>31.849512045636697</v>
      </c>
      <c r="R28" s="38">
        <f t="shared" si="2"/>
        <v>12.056499393395953</v>
      </c>
      <c r="S28" s="10">
        <v>1016</v>
      </c>
      <c r="T28" s="10">
        <v>338</v>
      </c>
      <c r="U28" s="47">
        <f t="shared" si="5"/>
        <v>33.267716535433074</v>
      </c>
      <c r="V28" s="16">
        <v>776</v>
      </c>
      <c r="W28" s="29">
        <v>87</v>
      </c>
      <c r="X28" s="28">
        <f t="shared" si="6"/>
        <v>11.211340206185568</v>
      </c>
      <c r="Y28" s="6">
        <v>556</v>
      </c>
      <c r="Z28" s="6">
        <v>157</v>
      </c>
      <c r="AA28" s="47">
        <f t="shared" si="7"/>
        <v>28.237410071942449</v>
      </c>
      <c r="AB28" s="6">
        <v>509</v>
      </c>
      <c r="AC28" s="30">
        <v>53</v>
      </c>
      <c r="AD28" s="40">
        <f t="shared" si="8"/>
        <v>10.412573673870334</v>
      </c>
    </row>
    <row r="29" spans="1:30">
      <c r="A29" s="4">
        <v>24</v>
      </c>
      <c r="B29" s="1" t="s">
        <v>30</v>
      </c>
      <c r="C29" s="1" t="s">
        <v>4</v>
      </c>
      <c r="D29" s="2">
        <v>22</v>
      </c>
      <c r="E29" s="11">
        <v>5291</v>
      </c>
      <c r="F29" s="51">
        <v>309</v>
      </c>
      <c r="G29" s="18">
        <f>(19*179)+(20*224)+(60*251)+(9*270)+(0*270)</f>
        <v>25371</v>
      </c>
      <c r="H29" s="16">
        <f t="shared" si="11"/>
        <v>5063.4870000000001</v>
      </c>
      <c r="I29" s="16">
        <f t="shared" si="0"/>
        <v>19.957774624571361</v>
      </c>
      <c r="J29" s="15">
        <v>19290</v>
      </c>
      <c r="K29" s="15">
        <v>8053</v>
      </c>
      <c r="L29" s="48">
        <f t="shared" si="3"/>
        <v>41.747019180922756</v>
      </c>
      <c r="M29" s="15">
        <f t="shared" si="4"/>
        <v>16534.285714285714</v>
      </c>
      <c r="N29" s="26">
        <v>1.041113</v>
      </c>
      <c r="O29" s="6">
        <v>18459</v>
      </c>
      <c r="P29" s="29">
        <v>7105.85</v>
      </c>
      <c r="Q29" s="41">
        <f t="shared" si="1"/>
        <v>38.495313938999949</v>
      </c>
      <c r="R29" s="38">
        <f t="shared" si="2"/>
        <v>18.537539314428589</v>
      </c>
      <c r="S29" s="10">
        <v>1085</v>
      </c>
      <c r="T29" s="10">
        <v>220</v>
      </c>
      <c r="U29" s="28">
        <f t="shared" si="5"/>
        <v>20.276497695852534</v>
      </c>
      <c r="V29" s="16">
        <v>747</v>
      </c>
      <c r="W29" s="29">
        <v>63</v>
      </c>
      <c r="X29" s="40">
        <f t="shared" si="6"/>
        <v>8.4337349397590362</v>
      </c>
      <c r="Y29" s="6">
        <v>619</v>
      </c>
      <c r="Z29" s="6">
        <v>123</v>
      </c>
      <c r="AA29" s="28">
        <f t="shared" si="7"/>
        <v>19.870759289176089</v>
      </c>
      <c r="AB29" s="6">
        <v>551</v>
      </c>
      <c r="AC29" s="30">
        <v>83</v>
      </c>
      <c r="AD29" s="28">
        <f t="shared" si="8"/>
        <v>15.063520871143377</v>
      </c>
    </row>
    <row r="30" spans="1:30">
      <c r="A30" s="4">
        <v>25</v>
      </c>
      <c r="B30" s="1" t="s">
        <v>31</v>
      </c>
      <c r="C30" s="1" t="s">
        <v>4</v>
      </c>
      <c r="D30" s="2">
        <v>24</v>
      </c>
      <c r="E30" s="11">
        <v>5291.93</v>
      </c>
      <c r="F30" s="51">
        <v>321</v>
      </c>
      <c r="G30" s="18">
        <f>(19*179)+(20*224)+(60*251)+(9*270)+(0*270)</f>
        <v>25371</v>
      </c>
      <c r="H30" s="16">
        <f t="shared" si="11"/>
        <v>5064.3770100000002</v>
      </c>
      <c r="I30" s="16">
        <f t="shared" si="0"/>
        <v>19.961282606125103</v>
      </c>
      <c r="J30" s="15">
        <v>21493</v>
      </c>
      <c r="K30" s="15">
        <v>10542</v>
      </c>
      <c r="L30" s="48">
        <f t="shared" si="3"/>
        <v>49.048527427534545</v>
      </c>
      <c r="M30" s="15">
        <f t="shared" si="4"/>
        <v>18422.571428571428</v>
      </c>
      <c r="N30" s="26">
        <v>1.3471</v>
      </c>
      <c r="O30" s="6">
        <v>20598</v>
      </c>
      <c r="P30" s="29">
        <v>10350.89</v>
      </c>
      <c r="Q30" s="41">
        <f t="shared" si="1"/>
        <v>50.251917661908919</v>
      </c>
      <c r="R30" s="48">
        <f t="shared" si="2"/>
        <v>30.290635055783817</v>
      </c>
      <c r="S30" s="10">
        <v>1206</v>
      </c>
      <c r="T30" s="10">
        <v>362</v>
      </c>
      <c r="U30" s="47">
        <f t="shared" si="5"/>
        <v>30.016583747927029</v>
      </c>
      <c r="V30" s="16">
        <v>883</v>
      </c>
      <c r="W30" s="29">
        <v>279</v>
      </c>
      <c r="X30" s="47">
        <f t="shared" si="6"/>
        <v>31.596828992072481</v>
      </c>
      <c r="Y30" s="6">
        <v>628</v>
      </c>
      <c r="Z30" s="6">
        <v>119</v>
      </c>
      <c r="AA30" s="28">
        <f t="shared" si="7"/>
        <v>18.949044585987259</v>
      </c>
      <c r="AB30" s="6">
        <v>551</v>
      </c>
      <c r="AC30" s="30">
        <v>181</v>
      </c>
      <c r="AD30" s="47">
        <f t="shared" si="8"/>
        <v>32.849364791288565</v>
      </c>
    </row>
    <row r="31" spans="1:30">
      <c r="A31" s="4">
        <v>26</v>
      </c>
      <c r="B31" s="1" t="s">
        <v>32</v>
      </c>
      <c r="C31" s="1" t="s">
        <v>6</v>
      </c>
      <c r="D31" s="2">
        <v>43</v>
      </c>
      <c r="E31" s="11">
        <v>6981.66</v>
      </c>
      <c r="F31" s="51">
        <v>403</v>
      </c>
      <c r="G31" s="18">
        <f>(3*179)+(78*224)+(51*251)+(8*270)+(0*270)</f>
        <v>32970</v>
      </c>
      <c r="H31" s="16">
        <f t="shared" si="11"/>
        <v>6681.4486199999992</v>
      </c>
      <c r="I31" s="16">
        <f t="shared" si="0"/>
        <v>20.265236942675159</v>
      </c>
      <c r="J31" s="15">
        <v>24779</v>
      </c>
      <c r="K31" s="15">
        <v>7431</v>
      </c>
      <c r="L31" s="48">
        <f t="shared" si="3"/>
        <v>29.989103676500264</v>
      </c>
      <c r="M31" s="15">
        <f t="shared" si="4"/>
        <v>21239.142857142855</v>
      </c>
      <c r="N31" s="26">
        <v>0.59734799999999999</v>
      </c>
      <c r="O31" s="6">
        <v>22948</v>
      </c>
      <c r="P31" s="29">
        <v>8810</v>
      </c>
      <c r="Q31" s="41">
        <f t="shared" si="1"/>
        <v>38.39114519783859</v>
      </c>
      <c r="R31" s="38">
        <f t="shared" si="2"/>
        <v>18.125908255163431</v>
      </c>
      <c r="S31" s="10">
        <v>1084</v>
      </c>
      <c r="T31" s="10">
        <v>220</v>
      </c>
      <c r="U31" s="28">
        <f t="shared" si="5"/>
        <v>20.29520295202952</v>
      </c>
      <c r="V31" s="16">
        <v>901</v>
      </c>
      <c r="W31" s="29">
        <v>61</v>
      </c>
      <c r="X31" s="40">
        <f t="shared" si="6"/>
        <v>6.7702552719200888</v>
      </c>
      <c r="Y31" s="6">
        <v>720</v>
      </c>
      <c r="Z31" s="6">
        <v>142</v>
      </c>
      <c r="AA31" s="28">
        <f t="shared" si="7"/>
        <v>19.722222222222221</v>
      </c>
      <c r="AB31" s="6">
        <v>621</v>
      </c>
      <c r="AC31" s="30">
        <v>-4</v>
      </c>
      <c r="AD31" s="40">
        <f t="shared" si="8"/>
        <v>-0.64412238325281801</v>
      </c>
    </row>
    <row r="32" spans="1:30">
      <c r="A32" s="4">
        <v>27</v>
      </c>
      <c r="B32" s="1" t="s">
        <v>33</v>
      </c>
      <c r="C32" s="1" t="s">
        <v>4</v>
      </c>
      <c r="D32" s="2" t="s">
        <v>34</v>
      </c>
      <c r="E32" s="11">
        <v>5273.1</v>
      </c>
      <c r="F32" s="51">
        <v>269</v>
      </c>
      <c r="G32" s="18">
        <f>(47*256)+(32*299)+(32*325)</f>
        <v>32000</v>
      </c>
      <c r="H32" s="16">
        <f>1.114*E32</f>
        <v>5874.233400000001</v>
      </c>
      <c r="I32" s="16">
        <f t="shared" si="0"/>
        <v>18.356979375000002</v>
      </c>
      <c r="J32" s="15">
        <v>28191</v>
      </c>
      <c r="K32" s="15">
        <v>14217</v>
      </c>
      <c r="L32" s="48">
        <f t="shared" si="3"/>
        <v>50.43098861338725</v>
      </c>
      <c r="M32" s="15">
        <f t="shared" si="4"/>
        <v>24163.714285714286</v>
      </c>
      <c r="N32" s="26">
        <v>1.1892180000000001</v>
      </c>
      <c r="O32" s="6">
        <v>25959</v>
      </c>
      <c r="P32" s="29">
        <v>12104.71</v>
      </c>
      <c r="Q32" s="41">
        <f t="shared" si="1"/>
        <v>46.630109018066953</v>
      </c>
      <c r="R32" s="48">
        <f t="shared" si="2"/>
        <v>28.273129643066952</v>
      </c>
      <c r="S32" s="10">
        <v>812</v>
      </c>
      <c r="T32" s="10">
        <v>-535</v>
      </c>
      <c r="U32" s="39">
        <f t="shared" si="5"/>
        <v>-65.886699507389167</v>
      </c>
      <c r="V32" s="32">
        <v>1143</v>
      </c>
      <c r="W32" s="29">
        <v>318</v>
      </c>
      <c r="X32" s="47">
        <f t="shared" si="6"/>
        <v>27.821522309711288</v>
      </c>
      <c r="Y32" s="14">
        <v>392</v>
      </c>
      <c r="Z32" s="14">
        <v>-300</v>
      </c>
      <c r="AA32" s="40">
        <f t="shared" si="7"/>
        <v>-76.530612244897966</v>
      </c>
      <c r="AB32" s="30">
        <v>513</v>
      </c>
      <c r="AC32" s="30">
        <v>101</v>
      </c>
      <c r="AD32" s="28">
        <f t="shared" si="8"/>
        <v>19.688109161793374</v>
      </c>
    </row>
    <row r="33" spans="1:30">
      <c r="A33" s="4">
        <v>28</v>
      </c>
      <c r="B33" s="1" t="s">
        <v>35</v>
      </c>
      <c r="C33" s="1" t="s">
        <v>4</v>
      </c>
      <c r="D33" s="2" t="s">
        <v>36</v>
      </c>
      <c r="E33" s="11">
        <v>5321.27</v>
      </c>
      <c r="F33" s="51">
        <f>248+23</f>
        <v>271</v>
      </c>
      <c r="G33" s="18">
        <f>(47*256)+(31*299)+(32*325)</f>
        <v>31701</v>
      </c>
      <c r="H33" s="16">
        <f>1.114*E33</f>
        <v>5927.8947800000014</v>
      </c>
      <c r="I33" s="16">
        <f t="shared" si="0"/>
        <v>18.699393646888115</v>
      </c>
      <c r="J33" s="15">
        <v>23741</v>
      </c>
      <c r="K33" s="15">
        <v>4850</v>
      </c>
      <c r="L33" s="38">
        <f t="shared" si="3"/>
        <v>20.428794069331538</v>
      </c>
      <c r="M33" s="15">
        <f t="shared" si="4"/>
        <v>20349.428571428572</v>
      </c>
      <c r="N33" s="26">
        <v>0.46046799999999999</v>
      </c>
      <c r="O33" s="6">
        <v>22767</v>
      </c>
      <c r="P33" s="29">
        <v>4500</v>
      </c>
      <c r="Q33" s="38">
        <f t="shared" si="1"/>
        <v>19.765449993411519</v>
      </c>
      <c r="R33" s="42">
        <f t="shared" si="2"/>
        <v>1.0660563465234034</v>
      </c>
      <c r="S33" s="10">
        <v>622</v>
      </c>
      <c r="T33" s="10">
        <v>-673</v>
      </c>
      <c r="U33" s="39">
        <f t="shared" si="5"/>
        <v>-108.19935691318328</v>
      </c>
      <c r="V33" s="16">
        <v>696</v>
      </c>
      <c r="W33" s="29">
        <v>-45</v>
      </c>
      <c r="X33" s="40">
        <f t="shared" si="6"/>
        <v>-6.4655172413793105</v>
      </c>
      <c r="Y33" s="14">
        <v>282</v>
      </c>
      <c r="Z33" s="14">
        <v>-398</v>
      </c>
      <c r="AA33" s="40">
        <f t="shared" si="7"/>
        <v>-141.13475177304966</v>
      </c>
      <c r="AB33" s="30">
        <v>472</v>
      </c>
      <c r="AC33" s="30">
        <v>-30.7</v>
      </c>
      <c r="AD33" s="40">
        <f t="shared" si="8"/>
        <v>-6.5042372881355934</v>
      </c>
    </row>
    <row r="34" spans="1:30">
      <c r="A34" s="4">
        <v>29</v>
      </c>
      <c r="B34" s="1" t="s">
        <v>37</v>
      </c>
      <c r="C34" s="1" t="s">
        <v>4</v>
      </c>
      <c r="D34" s="2" t="s">
        <v>38</v>
      </c>
      <c r="E34" s="12">
        <v>5261.4</v>
      </c>
      <c r="F34" s="51">
        <v>256</v>
      </c>
      <c r="G34" s="18">
        <f>(47*256)+(32*299)+(32*325)</f>
        <v>32000</v>
      </c>
      <c r="H34" s="16">
        <f>1.114*E34</f>
        <v>5861.1995999999999</v>
      </c>
      <c r="I34" s="16">
        <f t="shared" si="0"/>
        <v>18.31624875</v>
      </c>
      <c r="J34" s="15">
        <v>27178</v>
      </c>
      <c r="K34" s="15">
        <v>12117</v>
      </c>
      <c r="L34" s="48">
        <f t="shared" si="3"/>
        <v>44.583854588269929</v>
      </c>
      <c r="M34" s="15">
        <f t="shared" si="4"/>
        <v>23295.428571428572</v>
      </c>
      <c r="N34" s="26">
        <v>1.2628649999999999</v>
      </c>
      <c r="O34" s="6">
        <v>25403</v>
      </c>
      <c r="P34" s="29">
        <v>9512.9</v>
      </c>
      <c r="Q34" s="41">
        <f t="shared" si="1"/>
        <v>37.44793921977719</v>
      </c>
      <c r="R34" s="38">
        <f t="shared" si="2"/>
        <v>19.13169046977719</v>
      </c>
      <c r="S34" s="10">
        <v>588</v>
      </c>
      <c r="T34" s="10">
        <v>-546</v>
      </c>
      <c r="U34" s="39">
        <f t="shared" si="5"/>
        <v>-92.857142857142861</v>
      </c>
      <c r="V34" s="16">
        <v>489</v>
      </c>
      <c r="W34" s="29">
        <v>-188</v>
      </c>
      <c r="X34" s="40">
        <f t="shared" si="6"/>
        <v>-38.445807770961146</v>
      </c>
      <c r="Y34" s="14">
        <v>353</v>
      </c>
      <c r="Z34" s="14">
        <v>-282</v>
      </c>
      <c r="AA34" s="40">
        <f t="shared" si="7"/>
        <v>-79.88668555240794</v>
      </c>
      <c r="AB34" s="30">
        <v>460</v>
      </c>
      <c r="AC34" s="30">
        <v>49</v>
      </c>
      <c r="AD34" s="28">
        <f t="shared" si="8"/>
        <v>10.652173913043478</v>
      </c>
    </row>
    <row r="35" spans="1:30">
      <c r="A35" s="4">
        <v>30</v>
      </c>
      <c r="B35" s="1" t="s">
        <v>39</v>
      </c>
      <c r="C35" s="1" t="s">
        <v>40</v>
      </c>
      <c r="D35" s="2" t="s">
        <v>41</v>
      </c>
      <c r="E35" s="13">
        <v>60146.5</v>
      </c>
      <c r="F35" s="51">
        <f>2803+44</f>
        <v>2847</v>
      </c>
      <c r="G35" s="18">
        <f>(40*179)+(484*224)+(426*251)+(37*270)+(13*270)</f>
        <v>236002</v>
      </c>
      <c r="H35" s="16">
        <f>1.114*E35</f>
        <v>67003.201000000001</v>
      </c>
      <c r="I35" s="16">
        <f t="shared" si="0"/>
        <v>28.390946263167262</v>
      </c>
      <c r="J35" s="15">
        <v>256479</v>
      </c>
      <c r="K35" s="15">
        <v>90120</v>
      </c>
      <c r="L35" s="48">
        <f t="shared" si="3"/>
        <v>35.137379668510874</v>
      </c>
      <c r="M35" s="15">
        <f t="shared" si="4"/>
        <v>219839.14285714287</v>
      </c>
      <c r="N35" s="26">
        <v>0.55059999999999998</v>
      </c>
      <c r="O35" s="6">
        <v>294602</v>
      </c>
      <c r="P35" s="29">
        <v>114242.51</v>
      </c>
      <c r="Q35" s="41">
        <f t="shared" si="1"/>
        <v>38.778592813354969</v>
      </c>
      <c r="R35" s="42">
        <f t="shared" si="2"/>
        <v>10.387646550187707</v>
      </c>
      <c r="S35" s="10">
        <v>10303</v>
      </c>
      <c r="T35" s="10">
        <v>3938</v>
      </c>
      <c r="U35" s="47">
        <f t="shared" si="5"/>
        <v>38.221877123168007</v>
      </c>
      <c r="V35" s="16">
        <v>7804</v>
      </c>
      <c r="W35" s="29">
        <v>1530</v>
      </c>
      <c r="X35" s="28">
        <f t="shared" si="6"/>
        <v>19.605330599692465</v>
      </c>
      <c r="Y35" s="6">
        <v>5083</v>
      </c>
      <c r="Z35" s="6">
        <v>2057</v>
      </c>
      <c r="AA35" s="47">
        <f t="shared" si="7"/>
        <v>40.468227424749166</v>
      </c>
      <c r="AB35" s="30">
        <v>4341</v>
      </c>
      <c r="AC35" s="30">
        <v>795</v>
      </c>
      <c r="AD35" s="28">
        <f t="shared" si="8"/>
        <v>18.313752591568765</v>
      </c>
    </row>
    <row r="36" spans="1:30">
      <c r="A36" s="4">
        <v>31</v>
      </c>
      <c r="B36" s="1" t="s">
        <v>42</v>
      </c>
      <c r="C36" s="1" t="s">
        <v>40</v>
      </c>
      <c r="D36" s="2" t="s">
        <v>43</v>
      </c>
      <c r="E36" s="11">
        <v>22766.01</v>
      </c>
      <c r="F36" s="51">
        <f>1084+19</f>
        <v>1103</v>
      </c>
      <c r="G36" s="18">
        <f>(2*179)+(183*224)+(181*251)+(9*270)+(9*270)</f>
        <v>91641</v>
      </c>
      <c r="H36" s="16">
        <f>0.957*E36</f>
        <v>21787.071569999996</v>
      </c>
      <c r="I36" s="16">
        <f t="shared" si="0"/>
        <v>23.774371263953903</v>
      </c>
      <c r="J36" s="15">
        <v>70266</v>
      </c>
      <c r="K36" s="15">
        <v>28893</v>
      </c>
      <c r="L36" s="48">
        <f t="shared" si="3"/>
        <v>41.119460336435829</v>
      </c>
      <c r="M36" s="15">
        <f t="shared" si="4"/>
        <v>60228</v>
      </c>
      <c r="N36" s="26">
        <v>0.44242500000000001</v>
      </c>
      <c r="O36" s="6">
        <v>79266</v>
      </c>
      <c r="P36" s="29">
        <v>31241.88</v>
      </c>
      <c r="Q36" s="41">
        <f t="shared" si="1"/>
        <v>39.413973204148064</v>
      </c>
      <c r="R36" s="38">
        <f t="shared" si="2"/>
        <v>15.639601940194162</v>
      </c>
      <c r="S36" s="10">
        <v>3860</v>
      </c>
      <c r="T36" s="10">
        <v>1498</v>
      </c>
      <c r="U36" s="47">
        <f t="shared" si="5"/>
        <v>38.80829015544041</v>
      </c>
      <c r="V36" s="16">
        <v>2980</v>
      </c>
      <c r="W36" s="29">
        <v>488</v>
      </c>
      <c r="X36" s="28">
        <f t="shared" si="6"/>
        <v>16.375838926174495</v>
      </c>
      <c r="Y36" s="6">
        <v>2163</v>
      </c>
      <c r="Z36" s="6">
        <v>885</v>
      </c>
      <c r="AA36" s="47">
        <f t="shared" si="7"/>
        <v>40.915395284327325</v>
      </c>
      <c r="AB36" s="6">
        <v>2012</v>
      </c>
      <c r="AC36" s="30">
        <v>497</v>
      </c>
      <c r="AD36" s="47">
        <f t="shared" si="8"/>
        <v>24.701789264413517</v>
      </c>
    </row>
    <row r="37" spans="1:30">
      <c r="A37" s="4">
        <v>32</v>
      </c>
      <c r="B37" s="1" t="s">
        <v>44</v>
      </c>
      <c r="C37" s="1" t="s">
        <v>6</v>
      </c>
      <c r="D37" s="2">
        <v>55</v>
      </c>
      <c r="E37" s="11">
        <v>3838.41</v>
      </c>
      <c r="F37" s="51">
        <f>199+16</f>
        <v>215</v>
      </c>
      <c r="G37" s="18">
        <f>(26*179)+(51*224)+(11*251)+(1*270)+(0*270)</f>
        <v>19109</v>
      </c>
      <c r="H37" s="16">
        <f>1.114*E37</f>
        <v>4275.9887399999998</v>
      </c>
      <c r="I37" s="16">
        <f t="shared" si="0"/>
        <v>22.376831545345123</v>
      </c>
      <c r="J37" s="15">
        <v>14472</v>
      </c>
      <c r="K37" s="15">
        <v>6270</v>
      </c>
      <c r="L37" s="48">
        <f t="shared" si="3"/>
        <v>43.325041459369821</v>
      </c>
      <c r="M37" s="15">
        <f t="shared" si="4"/>
        <v>12404.571428571428</v>
      </c>
      <c r="N37" s="26">
        <v>0.53381800000000001</v>
      </c>
      <c r="O37" s="6">
        <v>16720</v>
      </c>
      <c r="P37" s="29">
        <v>7064.3</v>
      </c>
      <c r="Q37" s="41">
        <f t="shared" si="1"/>
        <v>42.250598086124405</v>
      </c>
      <c r="R37" s="38">
        <f t="shared" si="2"/>
        <v>19.873766540779283</v>
      </c>
      <c r="S37" s="10">
        <v>787</v>
      </c>
      <c r="T37" s="10">
        <v>311</v>
      </c>
      <c r="U37" s="47">
        <f t="shared" si="5"/>
        <v>39.517153748411687</v>
      </c>
      <c r="V37" s="16">
        <v>657</v>
      </c>
      <c r="W37" s="29">
        <v>187</v>
      </c>
      <c r="X37" s="47">
        <f t="shared" si="6"/>
        <v>28.462709284627092</v>
      </c>
      <c r="Y37" s="6">
        <v>393</v>
      </c>
      <c r="Z37" s="6">
        <v>159</v>
      </c>
      <c r="AA37" s="47">
        <f t="shared" si="7"/>
        <v>40.458015267175568</v>
      </c>
      <c r="AB37" s="6">
        <v>350</v>
      </c>
      <c r="AC37" s="30">
        <v>14</v>
      </c>
      <c r="AD37" s="40">
        <f t="shared" si="8"/>
        <v>4</v>
      </c>
    </row>
    <row r="38" spans="1:30">
      <c r="A38" s="4">
        <v>33</v>
      </c>
      <c r="B38" s="1" t="s">
        <v>45</v>
      </c>
      <c r="C38" s="1" t="s">
        <v>46</v>
      </c>
      <c r="D38" s="2">
        <v>1</v>
      </c>
      <c r="E38" s="11">
        <v>14333.5</v>
      </c>
      <c r="F38" s="51">
        <f>785+15</f>
        <v>800</v>
      </c>
      <c r="G38" s="18">
        <f>(55*179)+(71*224)+(152*251)+(9*270)+(0*270)</f>
        <v>66331</v>
      </c>
      <c r="H38" s="16">
        <f>0.957*E38</f>
        <v>13717.1595</v>
      </c>
      <c r="I38" s="16">
        <f t="shared" si="0"/>
        <v>20.67986235696733</v>
      </c>
      <c r="J38" s="15">
        <v>41937</v>
      </c>
      <c r="K38" s="15">
        <v>14733</v>
      </c>
      <c r="L38" s="48">
        <f t="shared" si="3"/>
        <v>35.131268331068028</v>
      </c>
      <c r="M38" s="15">
        <f t="shared" si="4"/>
        <v>35946</v>
      </c>
      <c r="N38" s="26">
        <v>0.17643200000000001</v>
      </c>
      <c r="O38" s="6">
        <v>44076</v>
      </c>
      <c r="P38" s="29">
        <v>12968.16</v>
      </c>
      <c r="Q38" s="41">
        <f t="shared" si="1"/>
        <v>29.422270623468556</v>
      </c>
      <c r="R38" s="42">
        <f t="shared" ref="R38:R69" si="12">Q38-I38</f>
        <v>8.7424082665012257</v>
      </c>
      <c r="S38" s="10">
        <v>2777</v>
      </c>
      <c r="T38" s="10">
        <v>1150</v>
      </c>
      <c r="U38" s="47">
        <f t="shared" si="5"/>
        <v>41.411595246669066</v>
      </c>
      <c r="V38" s="16">
        <v>2101</v>
      </c>
      <c r="W38" s="29">
        <v>410</v>
      </c>
      <c r="X38" s="28">
        <f t="shared" si="6"/>
        <v>19.514516896715847</v>
      </c>
      <c r="Y38" s="6">
        <v>1456</v>
      </c>
      <c r="Z38" s="6">
        <v>594</v>
      </c>
      <c r="AA38" s="47">
        <f t="shared" si="7"/>
        <v>40.796703296703292</v>
      </c>
      <c r="AB38" s="6">
        <v>1271</v>
      </c>
      <c r="AC38" s="30">
        <v>218</v>
      </c>
      <c r="AD38" s="28">
        <f t="shared" si="8"/>
        <v>17.151848937844218</v>
      </c>
    </row>
    <row r="39" spans="1:30">
      <c r="A39" s="4">
        <v>34</v>
      </c>
      <c r="B39" s="1" t="s">
        <v>47</v>
      </c>
      <c r="C39" s="1" t="s">
        <v>46</v>
      </c>
      <c r="D39" s="2">
        <v>5</v>
      </c>
      <c r="E39" s="11">
        <v>8888.3700000000008</v>
      </c>
      <c r="F39" s="51">
        <v>491</v>
      </c>
      <c r="G39" s="18">
        <f>(36*179)+(40*224)+(94*251)+(9*270)+(0*270)</f>
        <v>41428</v>
      </c>
      <c r="H39" s="16">
        <f>0.957*E39</f>
        <v>8506.1700899999996</v>
      </c>
      <c r="I39" s="16">
        <f t="shared" si="0"/>
        <v>20.532417905764216</v>
      </c>
      <c r="J39" s="15">
        <v>27414</v>
      </c>
      <c r="K39" s="15">
        <v>10946</v>
      </c>
      <c r="L39" s="48">
        <f t="shared" si="3"/>
        <v>39.928503684248923</v>
      </c>
      <c r="M39" s="15">
        <f t="shared" si="4"/>
        <v>23497.714285714286</v>
      </c>
      <c r="N39" s="26">
        <v>0.28009699999999998</v>
      </c>
      <c r="O39" s="6">
        <v>31788</v>
      </c>
      <c r="P39" s="29">
        <v>13444.92</v>
      </c>
      <c r="Q39" s="41">
        <f t="shared" si="1"/>
        <v>42.295583238958095</v>
      </c>
      <c r="R39" s="48">
        <f t="shared" si="12"/>
        <v>21.763165333193879</v>
      </c>
      <c r="S39" s="10">
        <v>1456</v>
      </c>
      <c r="T39" s="10">
        <v>573</v>
      </c>
      <c r="U39" s="47">
        <f t="shared" si="5"/>
        <v>39.354395604395606</v>
      </c>
      <c r="V39" s="16">
        <v>1166</v>
      </c>
      <c r="W39" s="29">
        <v>323</v>
      </c>
      <c r="X39" s="47">
        <f t="shared" si="6"/>
        <v>27.70154373927959</v>
      </c>
      <c r="Y39" s="6">
        <v>874</v>
      </c>
      <c r="Z39" s="6">
        <v>354</v>
      </c>
      <c r="AA39" s="47">
        <f t="shared" si="7"/>
        <v>40.503432494279174</v>
      </c>
      <c r="AB39" s="6">
        <v>803</v>
      </c>
      <c r="AC39" s="30">
        <v>202</v>
      </c>
      <c r="AD39" s="47">
        <f t="shared" si="8"/>
        <v>25.155666251556664</v>
      </c>
    </row>
    <row r="40" spans="1:30">
      <c r="A40" s="4">
        <v>35</v>
      </c>
      <c r="B40" s="1" t="s">
        <v>48</v>
      </c>
      <c r="C40" s="1" t="s">
        <v>49</v>
      </c>
      <c r="D40" s="2">
        <v>3</v>
      </c>
      <c r="E40" s="11">
        <v>30753.72</v>
      </c>
      <c r="F40" s="51">
        <f>1439+18</f>
        <v>1457</v>
      </c>
      <c r="G40" s="18">
        <f>(5*256)+(214*299)+(202*325)+(53*343)+(12*377)</f>
        <v>153619</v>
      </c>
      <c r="H40" s="16">
        <f>1.114*E40</f>
        <v>34259.644080000005</v>
      </c>
      <c r="I40" s="16">
        <f t="shared" si="0"/>
        <v>22.301697107779638</v>
      </c>
      <c r="J40" s="15">
        <v>130342</v>
      </c>
      <c r="K40" s="15">
        <v>47459</v>
      </c>
      <c r="L40" s="48">
        <f t="shared" si="3"/>
        <v>36.41113378650013</v>
      </c>
      <c r="M40" s="15">
        <f t="shared" si="4"/>
        <v>111721.71428571429</v>
      </c>
      <c r="N40" s="26">
        <v>0.52140399999999998</v>
      </c>
      <c r="O40" s="6">
        <v>152652</v>
      </c>
      <c r="P40" s="29">
        <v>60983.89</v>
      </c>
      <c r="Q40" s="41">
        <f t="shared" si="1"/>
        <v>39.949617430495508</v>
      </c>
      <c r="R40" s="38">
        <f t="shared" si="12"/>
        <v>17.647920322715869</v>
      </c>
      <c r="S40" s="10">
        <v>5194</v>
      </c>
      <c r="T40" s="10">
        <v>1673</v>
      </c>
      <c r="U40" s="47">
        <f t="shared" si="5"/>
        <v>32.21024258760108</v>
      </c>
      <c r="V40" s="17">
        <v>4285</v>
      </c>
      <c r="W40" s="29">
        <v>850</v>
      </c>
      <c r="X40" s="28">
        <f t="shared" si="6"/>
        <v>19.836639439906651</v>
      </c>
      <c r="Y40" s="6">
        <v>2264</v>
      </c>
      <c r="Z40" s="6">
        <v>176</v>
      </c>
      <c r="AA40" s="40">
        <f t="shared" si="7"/>
        <v>7.7738515901060072</v>
      </c>
      <c r="AB40" s="6">
        <v>1796</v>
      </c>
      <c r="AC40" s="30">
        <v>-38</v>
      </c>
      <c r="AD40" s="40">
        <f t="shared" si="8"/>
        <v>-2.1158129175946545</v>
      </c>
    </row>
    <row r="41" spans="1:30">
      <c r="A41" s="4">
        <v>36</v>
      </c>
      <c r="B41" s="1" t="s">
        <v>50</v>
      </c>
      <c r="C41" s="1" t="s">
        <v>46</v>
      </c>
      <c r="D41" s="2">
        <v>6</v>
      </c>
      <c r="E41" s="11">
        <v>7356.8</v>
      </c>
      <c r="F41" s="51">
        <v>358</v>
      </c>
      <c r="G41" s="18">
        <f>(72*179)+(84*224)+(12*251)+(0*270)+(0*270)</f>
        <v>34716</v>
      </c>
      <c r="H41" s="16">
        <f>1.114*E41</f>
        <v>8195.4752000000008</v>
      </c>
      <c r="I41" s="16">
        <f t="shared" si="0"/>
        <v>23.607198986058304</v>
      </c>
      <c r="J41" s="15">
        <v>22551</v>
      </c>
      <c r="K41" s="15">
        <v>9273</v>
      </c>
      <c r="L41" s="48">
        <f t="shared" si="3"/>
        <v>41.120127710522816</v>
      </c>
      <c r="M41" s="15">
        <f t="shared" si="4"/>
        <v>19329.428571428572</v>
      </c>
      <c r="N41" s="26">
        <v>0.40904499999999999</v>
      </c>
      <c r="O41" s="6">
        <v>25672</v>
      </c>
      <c r="P41" s="29">
        <v>9088.15</v>
      </c>
      <c r="Q41" s="41">
        <f t="shared" si="1"/>
        <v>35.401020567154873</v>
      </c>
      <c r="R41" s="38">
        <f t="shared" si="12"/>
        <v>11.793821581096569</v>
      </c>
      <c r="S41" s="10">
        <v>1291</v>
      </c>
      <c r="T41" s="10">
        <v>554</v>
      </c>
      <c r="U41" s="47">
        <f t="shared" si="5"/>
        <v>42.912470952749807</v>
      </c>
      <c r="V41" s="16">
        <v>1040</v>
      </c>
      <c r="W41" s="29">
        <v>202</v>
      </c>
      <c r="X41" s="28">
        <f t="shared" si="6"/>
        <v>19.423076923076923</v>
      </c>
      <c r="Y41" s="6">
        <v>647</v>
      </c>
      <c r="Z41" s="6">
        <v>297</v>
      </c>
      <c r="AA41" s="47">
        <f t="shared" si="7"/>
        <v>45.904173106646063</v>
      </c>
      <c r="AB41" s="6">
        <v>528</v>
      </c>
      <c r="AC41" s="30">
        <v>63</v>
      </c>
      <c r="AD41" s="28">
        <f t="shared" si="8"/>
        <v>11.931818181818182</v>
      </c>
    </row>
    <row r="42" spans="1:30">
      <c r="A42" s="4">
        <v>37</v>
      </c>
      <c r="B42" s="1" t="s">
        <v>51</v>
      </c>
      <c r="C42" s="1" t="s">
        <v>46</v>
      </c>
      <c r="D42" s="2">
        <v>4</v>
      </c>
      <c r="E42" s="11">
        <v>8582.08</v>
      </c>
      <c r="F42" s="51">
        <v>472</v>
      </c>
      <c r="G42" s="18">
        <f>(36*179)+(39*224)+(93*251)+(9*270)+(0*270)</f>
        <v>40953</v>
      </c>
      <c r="H42" s="16">
        <f>0.957*E42</f>
        <v>8213.0505599999997</v>
      </c>
      <c r="I42" s="16">
        <f t="shared" si="0"/>
        <v>20.054820306204675</v>
      </c>
      <c r="J42" s="15">
        <v>27328</v>
      </c>
      <c r="K42" s="15">
        <v>9609</v>
      </c>
      <c r="L42" s="48">
        <f t="shared" si="3"/>
        <v>35.161738875878221</v>
      </c>
      <c r="M42" s="15">
        <f t="shared" si="4"/>
        <v>23424</v>
      </c>
      <c r="N42" s="26">
        <v>0.232461</v>
      </c>
      <c r="O42" s="6">
        <v>30861</v>
      </c>
      <c r="P42" s="29">
        <v>12512.95</v>
      </c>
      <c r="Q42" s="41">
        <f t="shared" si="1"/>
        <v>40.546158582029101</v>
      </c>
      <c r="R42" s="38">
        <f t="shared" si="12"/>
        <v>20.491338275824425</v>
      </c>
      <c r="S42" s="10">
        <v>1715</v>
      </c>
      <c r="T42" s="10">
        <v>688</v>
      </c>
      <c r="U42" s="47">
        <f t="shared" si="5"/>
        <v>40.116618075801753</v>
      </c>
      <c r="V42" s="16">
        <v>1345</v>
      </c>
      <c r="W42" s="29">
        <v>359</v>
      </c>
      <c r="X42" s="47">
        <f t="shared" si="6"/>
        <v>26.691449814126397</v>
      </c>
      <c r="Y42" s="6">
        <v>753</v>
      </c>
      <c r="Z42" s="6">
        <v>216</v>
      </c>
      <c r="AA42" s="47">
        <f t="shared" si="7"/>
        <v>28.685258964143426</v>
      </c>
      <c r="AB42" s="6">
        <v>723</v>
      </c>
      <c r="AC42" s="30">
        <v>79</v>
      </c>
      <c r="AD42" s="28">
        <f t="shared" si="8"/>
        <v>10.926694329183954</v>
      </c>
    </row>
    <row r="43" spans="1:30">
      <c r="A43" s="4">
        <v>38</v>
      </c>
      <c r="B43" s="1" t="s">
        <v>52</v>
      </c>
      <c r="C43" s="1" t="s">
        <v>6</v>
      </c>
      <c r="D43" s="2">
        <v>57</v>
      </c>
      <c r="E43" s="11">
        <v>7098.9</v>
      </c>
      <c r="F43" s="51">
        <f>380+16</f>
        <v>396</v>
      </c>
      <c r="G43" s="18">
        <f>(27*179)+(31*224)+(76*251)+(9*270)+(0*270)</f>
        <v>33283</v>
      </c>
      <c r="H43" s="16">
        <f>0.957*E43</f>
        <v>6793.6472999999996</v>
      </c>
      <c r="I43" s="16">
        <f t="shared" si="0"/>
        <v>20.411763663131328</v>
      </c>
      <c r="J43" s="15">
        <v>23046</v>
      </c>
      <c r="K43" s="15">
        <v>8853</v>
      </c>
      <c r="L43" s="48">
        <f t="shared" si="3"/>
        <v>38.414475397032021</v>
      </c>
      <c r="M43" s="15">
        <f t="shared" si="4"/>
        <v>19753.714285714286</v>
      </c>
      <c r="N43" s="26">
        <v>0.25366100000000003</v>
      </c>
      <c r="O43" s="6">
        <v>26502</v>
      </c>
      <c r="P43" s="29">
        <v>10950.5</v>
      </c>
      <c r="Q43" s="41">
        <f t="shared" si="1"/>
        <v>41.319523054863787</v>
      </c>
      <c r="R43" s="38">
        <f t="shared" si="12"/>
        <v>20.907759391732458</v>
      </c>
      <c r="S43" s="10">
        <v>1254</v>
      </c>
      <c r="T43" s="10">
        <v>533</v>
      </c>
      <c r="U43" s="47">
        <f t="shared" si="5"/>
        <v>42.503987240829346</v>
      </c>
      <c r="V43" s="16">
        <v>984</v>
      </c>
      <c r="W43" s="29">
        <v>179</v>
      </c>
      <c r="X43" s="28">
        <f t="shared" si="6"/>
        <v>18.191056910569106</v>
      </c>
      <c r="Y43" s="6">
        <v>734</v>
      </c>
      <c r="Z43" s="6">
        <v>312</v>
      </c>
      <c r="AA43" s="47">
        <f t="shared" si="7"/>
        <v>42.506811989100818</v>
      </c>
      <c r="AB43" s="6">
        <v>635</v>
      </c>
      <c r="AC43" s="30">
        <v>116</v>
      </c>
      <c r="AD43" s="28">
        <f t="shared" si="8"/>
        <v>18.26771653543307</v>
      </c>
    </row>
    <row r="44" spans="1:30">
      <c r="A44" s="4">
        <v>39</v>
      </c>
      <c r="B44" s="1" t="s">
        <v>53</v>
      </c>
      <c r="C44" s="1" t="s">
        <v>6</v>
      </c>
      <c r="D44" s="2">
        <v>61</v>
      </c>
      <c r="E44" s="11">
        <v>3904.1</v>
      </c>
      <c r="F44" s="51">
        <v>217</v>
      </c>
      <c r="G44" s="18">
        <f>(26*179)+(52*224)+(13*251)+(0*270)+(0*270)</f>
        <v>19565</v>
      </c>
      <c r="H44" s="16">
        <f>1.114*E44</f>
        <v>4349.1674000000003</v>
      </c>
      <c r="I44" s="16">
        <f t="shared" si="0"/>
        <v>22.229324814720165</v>
      </c>
      <c r="J44" s="15">
        <v>14122</v>
      </c>
      <c r="K44" s="15">
        <v>6078</v>
      </c>
      <c r="L44" s="48">
        <f t="shared" si="3"/>
        <v>43.039229570882313</v>
      </c>
      <c r="M44" s="15">
        <f t="shared" si="4"/>
        <v>12104.571428571428</v>
      </c>
      <c r="N44" s="26">
        <v>0.61196300000000003</v>
      </c>
      <c r="O44" s="6">
        <v>14674</v>
      </c>
      <c r="P44" s="29">
        <v>6795.05</v>
      </c>
      <c r="Q44" s="41">
        <f t="shared" si="1"/>
        <v>46.306732997137793</v>
      </c>
      <c r="R44" s="48">
        <f t="shared" si="12"/>
        <v>24.077408182417628</v>
      </c>
      <c r="S44" s="10">
        <v>801</v>
      </c>
      <c r="T44" s="10">
        <v>422</v>
      </c>
      <c r="U44" s="47">
        <f t="shared" si="5"/>
        <v>52.684144818976279</v>
      </c>
      <c r="V44" s="16">
        <v>571</v>
      </c>
      <c r="W44" s="29">
        <v>212</v>
      </c>
      <c r="X44" s="47">
        <f t="shared" si="6"/>
        <v>37.127845884413311</v>
      </c>
      <c r="Y44" s="6">
        <v>341</v>
      </c>
      <c r="Z44" s="6">
        <v>150</v>
      </c>
      <c r="AA44" s="47">
        <f t="shared" si="7"/>
        <v>43.988269794721404</v>
      </c>
      <c r="AB44" s="6">
        <v>292</v>
      </c>
      <c r="AC44" s="30">
        <v>89</v>
      </c>
      <c r="AD44" s="47">
        <f t="shared" si="8"/>
        <v>30.479452054794521</v>
      </c>
    </row>
    <row r="45" spans="1:30">
      <c r="A45" s="4">
        <v>40</v>
      </c>
      <c r="B45" s="1" t="s">
        <v>54</v>
      </c>
      <c r="C45" s="1" t="s">
        <v>49</v>
      </c>
      <c r="D45" s="2">
        <v>1</v>
      </c>
      <c r="E45" s="11">
        <v>14396.88</v>
      </c>
      <c r="F45" s="51">
        <v>769</v>
      </c>
      <c r="G45" s="18">
        <f>(55*179)+(71*224)+(152*251)+(9*270)+(0*270)</f>
        <v>66331</v>
      </c>
      <c r="H45" s="16">
        <f>0.957*E45</f>
        <v>13777.814159999998</v>
      </c>
      <c r="I45" s="16">
        <f t="shared" si="0"/>
        <v>20.771304759463899</v>
      </c>
      <c r="J45" s="15">
        <v>45854</v>
      </c>
      <c r="K45" s="15">
        <v>18178</v>
      </c>
      <c r="L45" s="48">
        <f t="shared" si="3"/>
        <v>39.643215422863868</v>
      </c>
      <c r="M45" s="15">
        <f t="shared" si="4"/>
        <v>39303.428571428572</v>
      </c>
      <c r="N45" s="26">
        <v>0.42852800000000002</v>
      </c>
      <c r="O45" s="6">
        <v>53560</v>
      </c>
      <c r="P45" s="29">
        <v>23898.18</v>
      </c>
      <c r="Q45" s="41">
        <f t="shared" si="1"/>
        <v>44.619454817027631</v>
      </c>
      <c r="R45" s="48">
        <f t="shared" si="12"/>
        <v>23.848150057563732</v>
      </c>
      <c r="S45" s="10">
        <v>2760</v>
      </c>
      <c r="T45" s="10">
        <v>1087</v>
      </c>
      <c r="U45" s="47">
        <f t="shared" si="5"/>
        <v>39.384057971014492</v>
      </c>
      <c r="V45" s="16">
        <v>2199</v>
      </c>
      <c r="W45" s="29">
        <v>450</v>
      </c>
      <c r="X45" s="28">
        <f t="shared" si="6"/>
        <v>20.463847203274216</v>
      </c>
      <c r="Y45" s="6">
        <v>1469</v>
      </c>
      <c r="Z45" s="6">
        <v>623</v>
      </c>
      <c r="AA45" s="47">
        <f t="shared" si="7"/>
        <v>42.409802586793738</v>
      </c>
      <c r="AB45" s="6">
        <v>1293</v>
      </c>
      <c r="AC45" s="30">
        <v>333</v>
      </c>
      <c r="AD45" s="47">
        <f t="shared" si="8"/>
        <v>25.754060324825986</v>
      </c>
    </row>
    <row r="46" spans="1:30">
      <c r="A46" s="4">
        <v>41</v>
      </c>
      <c r="B46" s="1" t="s">
        <v>55</v>
      </c>
      <c r="C46" s="1" t="s">
        <v>56</v>
      </c>
      <c r="D46" s="2">
        <v>3</v>
      </c>
      <c r="E46" s="11">
        <v>25894.83</v>
      </c>
      <c r="F46" s="51">
        <f>1019+59</f>
        <v>1078</v>
      </c>
      <c r="G46" s="18">
        <f>(12*256)+(167*299)+(161*325)+(46*343)+(18*377)</f>
        <v>127894</v>
      </c>
      <c r="H46" s="16">
        <f>1.114*E46</f>
        <v>28846.840620000006</v>
      </c>
      <c r="I46" s="16">
        <f t="shared" si="0"/>
        <v>22.555272819678802</v>
      </c>
      <c r="J46" s="15">
        <v>130342</v>
      </c>
      <c r="K46" s="15">
        <v>44882</v>
      </c>
      <c r="L46" s="48">
        <f t="shared" si="3"/>
        <v>34.434027404827297</v>
      </c>
      <c r="M46" s="15">
        <f t="shared" si="4"/>
        <v>111721.71428571429</v>
      </c>
      <c r="N46" s="26">
        <v>0.52140399999999998</v>
      </c>
      <c r="O46" s="6">
        <v>120358</v>
      </c>
      <c r="P46" s="29">
        <v>44787.85</v>
      </c>
      <c r="Q46" s="41">
        <f t="shared" si="1"/>
        <v>37.212191960650728</v>
      </c>
      <c r="R46" s="38">
        <f t="shared" si="12"/>
        <v>14.656919140971926</v>
      </c>
      <c r="S46" s="10">
        <v>3740</v>
      </c>
      <c r="T46" s="10">
        <v>1336</v>
      </c>
      <c r="U46" s="47">
        <f t="shared" si="5"/>
        <v>35.721925133689844</v>
      </c>
      <c r="V46" s="16">
        <v>3213</v>
      </c>
      <c r="W46" s="29">
        <v>872</v>
      </c>
      <c r="X46" s="47">
        <f t="shared" si="6"/>
        <v>27.139744786803607</v>
      </c>
      <c r="Y46" s="6">
        <v>2378</v>
      </c>
      <c r="Z46" s="6">
        <v>1035</v>
      </c>
      <c r="AA46" s="47">
        <f t="shared" si="7"/>
        <v>43.523969722455845</v>
      </c>
      <c r="AB46" s="6">
        <v>2267</v>
      </c>
      <c r="AC46" s="30">
        <v>683</v>
      </c>
      <c r="AD46" s="47">
        <f t="shared" si="8"/>
        <v>30.127922364358181</v>
      </c>
    </row>
    <row r="47" spans="1:30">
      <c r="A47" s="4">
        <v>42</v>
      </c>
      <c r="B47" s="1" t="s">
        <v>57</v>
      </c>
      <c r="C47" s="1" t="s">
        <v>49</v>
      </c>
      <c r="D47" s="2">
        <v>6</v>
      </c>
      <c r="E47" s="11">
        <v>8504.4</v>
      </c>
      <c r="F47" s="51">
        <v>421</v>
      </c>
      <c r="G47" s="18">
        <f>(84*179)+(97*224)+(15*251)+(0*270)+(0*270)</f>
        <v>40529</v>
      </c>
      <c r="H47" s="16">
        <f>1.114*E47</f>
        <v>9473.9016000000011</v>
      </c>
      <c r="I47" s="16">
        <f t="shared" si="0"/>
        <v>23.375611537417655</v>
      </c>
      <c r="J47" s="15">
        <v>27739</v>
      </c>
      <c r="K47" s="15">
        <v>12425</v>
      </c>
      <c r="L47" s="48">
        <f t="shared" si="3"/>
        <v>44.792530372399874</v>
      </c>
      <c r="M47" s="15">
        <f t="shared" si="4"/>
        <v>23776.285714285714</v>
      </c>
      <c r="N47" s="26">
        <v>0.88673400000000002</v>
      </c>
      <c r="O47" s="6">
        <v>31066</v>
      </c>
      <c r="P47" s="29">
        <v>12718.97</v>
      </c>
      <c r="Q47" s="41">
        <f t="shared" si="1"/>
        <v>40.941769136676747</v>
      </c>
      <c r="R47" s="38">
        <f t="shared" si="12"/>
        <v>17.566157599259093</v>
      </c>
      <c r="S47" s="10">
        <v>1566</v>
      </c>
      <c r="T47" s="10">
        <v>658</v>
      </c>
      <c r="U47" s="47">
        <f t="shared" si="5"/>
        <v>42.017879948914434</v>
      </c>
      <c r="V47" s="16">
        <v>1204</v>
      </c>
      <c r="W47" s="29">
        <v>249</v>
      </c>
      <c r="X47" s="47">
        <f t="shared" si="6"/>
        <v>20.68106312292359</v>
      </c>
      <c r="Y47" s="6">
        <v>693</v>
      </c>
      <c r="Z47" s="6">
        <v>196</v>
      </c>
      <c r="AA47" s="47">
        <f t="shared" si="7"/>
        <v>28.282828282828284</v>
      </c>
      <c r="AB47" s="6">
        <v>567</v>
      </c>
      <c r="AC47" s="30">
        <v>41</v>
      </c>
      <c r="AD47" s="40">
        <f t="shared" si="8"/>
        <v>7.231040564373898</v>
      </c>
    </row>
    <row r="48" spans="1:30">
      <c r="A48" s="4">
        <v>43</v>
      </c>
      <c r="B48" s="1" t="s">
        <v>58</v>
      </c>
      <c r="C48" s="1" t="s">
        <v>49</v>
      </c>
      <c r="D48" s="2">
        <v>4</v>
      </c>
      <c r="E48" s="11">
        <v>8800.5</v>
      </c>
      <c r="F48" s="51">
        <v>485</v>
      </c>
      <c r="G48" s="18">
        <f>(36*179)+(39*224)+(95*251)+(9*270)+(0*270)</f>
        <v>41455</v>
      </c>
      <c r="H48" s="16">
        <f>0.957*E48</f>
        <v>8422.0784999999996</v>
      </c>
      <c r="I48" s="16">
        <f t="shared" si="0"/>
        <v>20.316194668918101</v>
      </c>
      <c r="J48" s="15">
        <v>29190</v>
      </c>
      <c r="K48" s="15">
        <v>11461</v>
      </c>
      <c r="L48" s="48">
        <f t="shared" si="3"/>
        <v>39.263446385748544</v>
      </c>
      <c r="M48" s="15">
        <f t="shared" si="4"/>
        <v>25020</v>
      </c>
      <c r="N48" s="26">
        <v>0.65802499999999997</v>
      </c>
      <c r="O48" s="6">
        <v>31784</v>
      </c>
      <c r="P48" s="29">
        <v>9097.61</v>
      </c>
      <c r="Q48" s="41">
        <f t="shared" si="1"/>
        <v>28.623238107223763</v>
      </c>
      <c r="R48" s="42">
        <f t="shared" si="12"/>
        <v>8.3070434383056622</v>
      </c>
      <c r="S48" s="10">
        <v>1774</v>
      </c>
      <c r="T48" s="10">
        <v>673</v>
      </c>
      <c r="U48" s="47">
        <f t="shared" si="5"/>
        <v>37.936865839909814</v>
      </c>
      <c r="V48" s="16">
        <v>1390</v>
      </c>
      <c r="W48" s="29">
        <v>256</v>
      </c>
      <c r="X48" s="28">
        <f t="shared" si="6"/>
        <v>18.417266187050359</v>
      </c>
      <c r="Y48" s="6">
        <v>974</v>
      </c>
      <c r="Z48" s="6">
        <v>342</v>
      </c>
      <c r="AA48" s="47">
        <f t="shared" si="7"/>
        <v>35.112936344969199</v>
      </c>
      <c r="AB48" s="6">
        <v>852</v>
      </c>
      <c r="AC48" s="30">
        <v>128</v>
      </c>
      <c r="AD48" s="28">
        <f t="shared" si="8"/>
        <v>15.023474178403756</v>
      </c>
    </row>
    <row r="49" spans="1:30">
      <c r="A49" s="4">
        <v>44</v>
      </c>
      <c r="B49" s="1" t="s">
        <v>59</v>
      </c>
      <c r="C49" s="1" t="s">
        <v>6</v>
      </c>
      <c r="D49" s="2">
        <v>63</v>
      </c>
      <c r="E49" s="11">
        <v>6890.93</v>
      </c>
      <c r="F49" s="51">
        <v>468</v>
      </c>
      <c r="G49" s="18">
        <f>(28*179)+(32*224)+(74*251)+(9*270)+(0*270)</f>
        <v>33184</v>
      </c>
      <c r="H49" s="16">
        <f>0.957*E49</f>
        <v>6594.6200099999996</v>
      </c>
      <c r="I49" s="16">
        <f t="shared" si="0"/>
        <v>19.872890579797492</v>
      </c>
      <c r="J49" s="15">
        <v>28297</v>
      </c>
      <c r="K49" s="15">
        <v>13540</v>
      </c>
      <c r="L49" s="48">
        <f t="shared" si="3"/>
        <v>47.849595363466086</v>
      </c>
      <c r="M49" s="15">
        <f t="shared" si="4"/>
        <v>24254.571428571428</v>
      </c>
      <c r="N49" s="26">
        <v>1.0096609999999999</v>
      </c>
      <c r="O49" s="6">
        <v>31868</v>
      </c>
      <c r="P49" s="29">
        <v>12282.96</v>
      </c>
      <c r="Q49" s="41">
        <f t="shared" si="1"/>
        <v>38.543240868582899</v>
      </c>
      <c r="R49" s="38">
        <f t="shared" si="12"/>
        <v>18.670350288785407</v>
      </c>
      <c r="S49" s="10">
        <v>1544</v>
      </c>
      <c r="T49" s="10">
        <v>608</v>
      </c>
      <c r="U49" s="47">
        <f t="shared" si="5"/>
        <v>39.37823834196891</v>
      </c>
      <c r="V49" s="16">
        <v>1199</v>
      </c>
      <c r="W49" s="29">
        <v>196</v>
      </c>
      <c r="X49" s="28">
        <f t="shared" si="6"/>
        <v>16.346955796497081</v>
      </c>
      <c r="Y49" s="6">
        <v>944</v>
      </c>
      <c r="Z49" s="6">
        <v>412</v>
      </c>
      <c r="AA49" s="47">
        <f t="shared" si="7"/>
        <v>43.644067796610173</v>
      </c>
      <c r="AB49" s="6">
        <v>860</v>
      </c>
      <c r="AC49" s="30">
        <v>176</v>
      </c>
      <c r="AD49" s="28">
        <f t="shared" si="8"/>
        <v>20.465116279069768</v>
      </c>
    </row>
    <row r="50" spans="1:30">
      <c r="A50" s="4">
        <v>45</v>
      </c>
      <c r="B50" s="1" t="s">
        <v>60</v>
      </c>
      <c r="C50" s="1" t="s">
        <v>6</v>
      </c>
      <c r="D50" s="2">
        <v>67</v>
      </c>
      <c r="E50" s="11">
        <v>3852.56</v>
      </c>
      <c r="F50" s="51">
        <v>228</v>
      </c>
      <c r="G50" s="18">
        <f>(26*179)+(52*224)+(13*251)+(0*270)+(0*270)</f>
        <v>19565</v>
      </c>
      <c r="H50" s="16">
        <f>1.114*E50</f>
        <v>4291.7518399999999</v>
      </c>
      <c r="I50" s="16">
        <f t="shared" si="0"/>
        <v>21.935864247380525</v>
      </c>
      <c r="J50" s="15">
        <v>15428</v>
      </c>
      <c r="K50" s="15">
        <v>6630</v>
      </c>
      <c r="L50" s="48">
        <f t="shared" si="3"/>
        <v>42.97381384495722</v>
      </c>
      <c r="M50" s="15">
        <f t="shared" si="4"/>
        <v>13224</v>
      </c>
      <c r="N50" s="26">
        <v>0.78629000000000004</v>
      </c>
      <c r="O50" s="6">
        <v>16589</v>
      </c>
      <c r="P50" s="29">
        <v>7119.17</v>
      </c>
      <c r="Q50" s="41">
        <f t="shared" si="1"/>
        <v>42.915003918259089</v>
      </c>
      <c r="R50" s="48">
        <f t="shared" si="12"/>
        <v>20.979139670878563</v>
      </c>
      <c r="S50" s="10">
        <v>675</v>
      </c>
      <c r="T50" s="10">
        <v>203</v>
      </c>
      <c r="U50" s="47">
        <f t="shared" si="5"/>
        <v>30.074074074074073</v>
      </c>
      <c r="V50" s="16">
        <v>711</v>
      </c>
      <c r="W50" s="29">
        <v>278</v>
      </c>
      <c r="X50" s="47">
        <f t="shared" si="6"/>
        <v>39.099859353023909</v>
      </c>
      <c r="Y50" s="6">
        <v>454</v>
      </c>
      <c r="Z50" s="6">
        <v>243</v>
      </c>
      <c r="AA50" s="47">
        <f t="shared" si="7"/>
        <v>53.524229074889867</v>
      </c>
      <c r="AB50" s="6">
        <v>408</v>
      </c>
      <c r="AC50" s="30">
        <v>169</v>
      </c>
      <c r="AD50" s="47">
        <f t="shared" si="8"/>
        <v>41.421568627450981</v>
      </c>
    </row>
    <row r="51" spans="1:30">
      <c r="A51" s="4">
        <v>46</v>
      </c>
      <c r="B51" s="1" t="s">
        <v>61</v>
      </c>
      <c r="C51" s="1" t="s">
        <v>56</v>
      </c>
      <c r="D51" s="2">
        <v>1</v>
      </c>
      <c r="E51" s="11">
        <v>14342.56</v>
      </c>
      <c r="F51" s="51">
        <f>753+19</f>
        <v>772</v>
      </c>
      <c r="G51" s="18">
        <f>(55*179)+(71*224)+(152*251)+(9*270)+(0*270)</f>
        <v>66331</v>
      </c>
      <c r="H51" s="16">
        <f>0.957*E51</f>
        <v>13725.829919999998</v>
      </c>
      <c r="I51" s="16">
        <f t="shared" si="0"/>
        <v>20.692933801691517</v>
      </c>
      <c r="J51" s="15">
        <v>47047</v>
      </c>
      <c r="K51" s="15">
        <v>18602</v>
      </c>
      <c r="L51" s="48">
        <f t="shared" si="3"/>
        <v>39.539184220035281</v>
      </c>
      <c r="M51" s="15">
        <f t="shared" si="4"/>
        <v>40326</v>
      </c>
      <c r="N51" s="26">
        <v>0.61855700000000002</v>
      </c>
      <c r="O51" s="6">
        <v>51449</v>
      </c>
      <c r="P51" s="29">
        <v>19693.89</v>
      </c>
      <c r="Q51" s="41">
        <f t="shared" si="1"/>
        <v>38.278469941106728</v>
      </c>
      <c r="R51" s="38">
        <f t="shared" si="12"/>
        <v>17.585536139415211</v>
      </c>
      <c r="S51" s="10">
        <v>2618</v>
      </c>
      <c r="T51" s="10">
        <v>1073</v>
      </c>
      <c r="U51" s="47">
        <f t="shared" si="5"/>
        <v>40.985485103132163</v>
      </c>
      <c r="V51" s="16">
        <v>2052</v>
      </c>
      <c r="W51" s="29">
        <v>410</v>
      </c>
      <c r="X51" s="28">
        <f t="shared" si="6"/>
        <v>19.980506822612085</v>
      </c>
      <c r="Y51" s="6">
        <v>1488</v>
      </c>
      <c r="Z51" s="6">
        <v>585</v>
      </c>
      <c r="AA51" s="47">
        <f t="shared" si="7"/>
        <v>39.314516129032256</v>
      </c>
      <c r="AB51" s="6">
        <v>1315</v>
      </c>
      <c r="AC51" s="30">
        <v>184</v>
      </c>
      <c r="AD51" s="28">
        <f t="shared" si="8"/>
        <v>13.992395437262356</v>
      </c>
    </row>
    <row r="52" spans="1:30">
      <c r="A52" s="4">
        <v>47</v>
      </c>
      <c r="B52" s="1" t="s">
        <v>62</v>
      </c>
      <c r="C52" s="1" t="s">
        <v>56</v>
      </c>
      <c r="D52" s="2">
        <v>6</v>
      </c>
      <c r="E52" s="11">
        <v>8506.86</v>
      </c>
      <c r="F52" s="51">
        <v>422</v>
      </c>
      <c r="G52" s="18">
        <f>(84*179)+(98*224)+(14*251)+(0*270)+(0*270)</f>
        <v>40502</v>
      </c>
      <c r="H52" s="16">
        <f>1.114*E52</f>
        <v>9476.6420400000006</v>
      </c>
      <c r="I52" s="16">
        <f t="shared" si="0"/>
        <v>23.397960693299098</v>
      </c>
      <c r="J52" s="15">
        <v>25250</v>
      </c>
      <c r="K52" s="15">
        <v>8156</v>
      </c>
      <c r="L52" s="48">
        <f t="shared" si="3"/>
        <v>32.300990099009901</v>
      </c>
      <c r="M52" s="15">
        <f t="shared" si="4"/>
        <v>21642.857142857145</v>
      </c>
      <c r="N52" s="26">
        <v>0.370008</v>
      </c>
      <c r="O52" s="6">
        <v>27706</v>
      </c>
      <c r="P52" s="29">
        <v>8465.7900000000009</v>
      </c>
      <c r="Q52" s="41">
        <f t="shared" si="1"/>
        <v>30.55580018768498</v>
      </c>
      <c r="R52" s="42">
        <f t="shared" si="12"/>
        <v>7.1578394943858825</v>
      </c>
      <c r="S52" s="10">
        <v>1900</v>
      </c>
      <c r="T52" s="10">
        <v>990</v>
      </c>
      <c r="U52" s="47">
        <f t="shared" si="5"/>
        <v>52.10526315789474</v>
      </c>
      <c r="V52" s="16">
        <v>1344</v>
      </c>
      <c r="W52" s="29">
        <v>449</v>
      </c>
      <c r="X52" s="47">
        <f t="shared" si="6"/>
        <v>33.407738095238095</v>
      </c>
      <c r="Y52" s="6">
        <v>738</v>
      </c>
      <c r="Z52" s="6">
        <v>343</v>
      </c>
      <c r="AA52" s="47">
        <f t="shared" si="7"/>
        <v>46.476964769647694</v>
      </c>
      <c r="AB52" s="6">
        <v>694</v>
      </c>
      <c r="AC52" s="30">
        <v>194</v>
      </c>
      <c r="AD52" s="47">
        <f t="shared" si="8"/>
        <v>27.953890489913544</v>
      </c>
    </row>
    <row r="53" spans="1:30">
      <c r="A53" s="4">
        <v>48</v>
      </c>
      <c r="B53" s="1" t="s">
        <v>63</v>
      </c>
      <c r="C53" s="1" t="s">
        <v>56</v>
      </c>
      <c r="D53" s="2">
        <v>4</v>
      </c>
      <c r="E53" s="11">
        <v>8794.0400000000009</v>
      </c>
      <c r="F53" s="51">
        <v>505</v>
      </c>
      <c r="G53" s="18">
        <f>(36*179)+(39*224)+(95*251)+(9*270)+(0*270)</f>
        <v>41455</v>
      </c>
      <c r="H53" s="16">
        <f>0.957*E53</f>
        <v>8415.8962800000008</v>
      </c>
      <c r="I53" s="16">
        <f t="shared" si="0"/>
        <v>20.30128158243879</v>
      </c>
      <c r="J53" s="15">
        <v>30462</v>
      </c>
      <c r="K53" s="15">
        <v>12996</v>
      </c>
      <c r="L53" s="48">
        <f t="shared" si="3"/>
        <v>42.662989954697657</v>
      </c>
      <c r="M53" s="15">
        <f t="shared" si="4"/>
        <v>26110.285714285714</v>
      </c>
      <c r="N53" s="26">
        <v>0.49821799999999999</v>
      </c>
      <c r="O53" s="6">
        <v>34684</v>
      </c>
      <c r="P53" s="29">
        <v>14741.47</v>
      </c>
      <c r="Q53" s="41">
        <f t="shared" si="1"/>
        <v>42.502220043824245</v>
      </c>
      <c r="R53" s="48">
        <f t="shared" si="12"/>
        <v>22.200938461385455</v>
      </c>
      <c r="S53" s="10">
        <v>1687</v>
      </c>
      <c r="T53" s="10">
        <v>320</v>
      </c>
      <c r="U53" s="28">
        <f t="shared" si="5"/>
        <v>18.968583283935981</v>
      </c>
      <c r="V53" s="16">
        <v>1283</v>
      </c>
      <c r="W53" s="29">
        <v>242</v>
      </c>
      <c r="X53" s="28">
        <f t="shared" si="6"/>
        <v>18.862042088854249</v>
      </c>
      <c r="Y53" s="6">
        <v>883</v>
      </c>
      <c r="Z53" s="6">
        <v>165</v>
      </c>
      <c r="AA53" s="28">
        <f t="shared" si="7"/>
        <v>18.68629671574179</v>
      </c>
      <c r="AB53" s="6">
        <v>804</v>
      </c>
      <c r="AC53" s="30">
        <v>156</v>
      </c>
      <c r="AD53" s="28">
        <f t="shared" si="8"/>
        <v>19.402985074626869</v>
      </c>
    </row>
    <row r="54" spans="1:30">
      <c r="A54" s="4">
        <v>49</v>
      </c>
      <c r="B54" s="1" t="s">
        <v>64</v>
      </c>
      <c r="C54" s="1" t="s">
        <v>6</v>
      </c>
      <c r="D54" s="2">
        <v>69</v>
      </c>
      <c r="E54" s="11">
        <v>7064.6</v>
      </c>
      <c r="F54" s="51">
        <v>404</v>
      </c>
      <c r="G54" s="18">
        <f>(28*179)+(31*224)+(77*251)+(8*270)+(0*270)</f>
        <v>33443</v>
      </c>
      <c r="H54" s="16">
        <f>0.957*E54</f>
        <v>6760.8222000000005</v>
      </c>
      <c r="I54" s="16">
        <f t="shared" si="0"/>
        <v>20.21595610441647</v>
      </c>
      <c r="J54" s="15">
        <v>24247</v>
      </c>
      <c r="K54" s="15">
        <v>11646</v>
      </c>
      <c r="L54" s="48">
        <f t="shared" si="3"/>
        <v>48.030684208355673</v>
      </c>
      <c r="M54" s="15">
        <f t="shared" si="4"/>
        <v>20783.142857142859</v>
      </c>
      <c r="N54" s="26">
        <v>0.62461900000000004</v>
      </c>
      <c r="O54" s="6">
        <v>26811</v>
      </c>
      <c r="P54" s="29">
        <v>12397.42</v>
      </c>
      <c r="Q54" s="41">
        <f t="shared" si="1"/>
        <v>46.240050725448505</v>
      </c>
      <c r="R54" s="48">
        <f t="shared" si="12"/>
        <v>26.024094621032035</v>
      </c>
      <c r="S54" s="10">
        <v>1452</v>
      </c>
      <c r="T54" s="10">
        <v>669</v>
      </c>
      <c r="U54" s="47">
        <f t="shared" si="5"/>
        <v>46.074380165289256</v>
      </c>
      <c r="V54" s="16">
        <v>1129</v>
      </c>
      <c r="W54" s="29">
        <v>230</v>
      </c>
      <c r="X54" s="28">
        <f t="shared" si="6"/>
        <v>20.372010628875113</v>
      </c>
      <c r="Y54" s="6">
        <v>754</v>
      </c>
      <c r="Z54" s="6">
        <v>343</v>
      </c>
      <c r="AA54" s="47">
        <f t="shared" si="7"/>
        <v>45.490716180371351</v>
      </c>
      <c r="AB54" s="6">
        <v>643</v>
      </c>
      <c r="AC54" s="30">
        <v>130</v>
      </c>
      <c r="AD54" s="28">
        <f t="shared" si="8"/>
        <v>20.217729393468119</v>
      </c>
    </row>
    <row r="55" spans="1:30">
      <c r="A55" s="4">
        <v>50</v>
      </c>
      <c r="B55" s="1" t="s">
        <v>65</v>
      </c>
      <c r="C55" s="1" t="s">
        <v>6</v>
      </c>
      <c r="D55" s="2" t="s">
        <v>66</v>
      </c>
      <c r="E55" s="11">
        <v>3897.7</v>
      </c>
      <c r="F55" s="51">
        <v>254</v>
      </c>
      <c r="G55" s="18">
        <f>(26*179)+(52*224)+(13*251)+(0*270)+(0*270)</f>
        <v>19565</v>
      </c>
      <c r="H55" s="16">
        <f>1.114*E55</f>
        <v>4342.0378000000001</v>
      </c>
      <c r="I55" s="16">
        <f t="shared" si="0"/>
        <v>22.192884232047021</v>
      </c>
      <c r="J55" s="15">
        <v>15720</v>
      </c>
      <c r="K55" s="15">
        <v>8404</v>
      </c>
      <c r="L55" s="48">
        <f t="shared" si="3"/>
        <v>53.460559796437664</v>
      </c>
      <c r="M55" s="15">
        <f t="shared" si="4"/>
        <v>13474.285714285716</v>
      </c>
      <c r="N55" s="26">
        <v>0.67988599999999999</v>
      </c>
      <c r="O55" s="6">
        <v>17099</v>
      </c>
      <c r="P55" s="29">
        <v>8442.65</v>
      </c>
      <c r="Q55" s="41">
        <f t="shared" si="1"/>
        <v>49.375109655535404</v>
      </c>
      <c r="R55" s="48">
        <f t="shared" si="12"/>
        <v>27.182225423488383</v>
      </c>
      <c r="S55" s="10">
        <v>840</v>
      </c>
      <c r="T55" s="10">
        <v>391</v>
      </c>
      <c r="U55" s="47">
        <f t="shared" si="5"/>
        <v>46.547619047619044</v>
      </c>
      <c r="V55" s="16">
        <v>666</v>
      </c>
      <c r="W55" s="29">
        <v>222</v>
      </c>
      <c r="X55" s="47">
        <f t="shared" si="6"/>
        <v>33.333333333333336</v>
      </c>
      <c r="Y55" s="6">
        <v>460</v>
      </c>
      <c r="Z55" s="6">
        <v>197</v>
      </c>
      <c r="AA55" s="47">
        <f t="shared" si="7"/>
        <v>42.826086956521742</v>
      </c>
      <c r="AB55" s="6">
        <v>390</v>
      </c>
      <c r="AC55" s="30">
        <v>101</v>
      </c>
      <c r="AD55" s="47">
        <f t="shared" si="8"/>
        <v>25.897435897435898</v>
      </c>
    </row>
    <row r="56" spans="1:30">
      <c r="A56" s="4">
        <v>51</v>
      </c>
      <c r="B56" s="1" t="s">
        <v>67</v>
      </c>
      <c r="C56" s="1" t="s">
        <v>68</v>
      </c>
      <c r="D56" s="2">
        <v>25</v>
      </c>
      <c r="E56" s="11">
        <v>10519.57</v>
      </c>
      <c r="F56" s="51">
        <v>583</v>
      </c>
      <c r="G56" s="18">
        <f>(45*179)+(49*224)+(112*251)+(9*270)+(0*270)</f>
        <v>49573</v>
      </c>
      <c r="H56" s="16">
        <f>0.957*E56</f>
        <v>10067.22849</v>
      </c>
      <c r="I56" s="16">
        <f t="shared" si="0"/>
        <v>20.307886329251808</v>
      </c>
      <c r="J56" s="15">
        <v>35703</v>
      </c>
      <c r="K56" s="15">
        <v>16680</v>
      </c>
      <c r="L56" s="48">
        <f t="shared" si="3"/>
        <v>46.718763129148812</v>
      </c>
      <c r="M56" s="15">
        <f t="shared" si="4"/>
        <v>30602.571428571428</v>
      </c>
      <c r="N56" s="26">
        <v>0.35429500000000003</v>
      </c>
      <c r="O56" s="6">
        <v>39512</v>
      </c>
      <c r="P56" s="29">
        <v>17372.89</v>
      </c>
      <c r="Q56" s="41">
        <f t="shared" si="1"/>
        <v>43.968642437740428</v>
      </c>
      <c r="R56" s="48">
        <f t="shared" si="12"/>
        <v>23.66075610848862</v>
      </c>
      <c r="S56" s="10">
        <v>1918</v>
      </c>
      <c r="T56" s="10">
        <v>760</v>
      </c>
      <c r="U56" s="47">
        <f t="shared" si="5"/>
        <v>39.624608967674661</v>
      </c>
      <c r="V56" s="16">
        <v>1512</v>
      </c>
      <c r="W56" s="29">
        <v>393</v>
      </c>
      <c r="X56" s="47">
        <f t="shared" si="6"/>
        <v>25.992063492063494</v>
      </c>
      <c r="Y56" s="6">
        <v>1181</v>
      </c>
      <c r="Z56" s="6">
        <v>512</v>
      </c>
      <c r="AA56" s="47">
        <f t="shared" si="7"/>
        <v>43.353090601185436</v>
      </c>
      <c r="AB56" s="6">
        <v>1038</v>
      </c>
      <c r="AC56" s="30">
        <v>256</v>
      </c>
      <c r="AD56" s="47">
        <f t="shared" si="8"/>
        <v>24.662813102119458</v>
      </c>
    </row>
    <row r="57" spans="1:30">
      <c r="A57" s="4">
        <v>52</v>
      </c>
      <c r="B57" s="1" t="s">
        <v>69</v>
      </c>
      <c r="C57" s="1" t="s">
        <v>1</v>
      </c>
      <c r="D57" s="2">
        <v>54</v>
      </c>
      <c r="E57" s="11">
        <v>20647.150000000001</v>
      </c>
      <c r="F57" s="51">
        <v>1280</v>
      </c>
      <c r="G57" s="18">
        <f>(70*179)+(264*224)+(112*251)+(10*270)+(0*270)</f>
        <v>102478</v>
      </c>
      <c r="H57" s="16">
        <f>0.401*E57</f>
        <v>8279.5071500000013</v>
      </c>
      <c r="I57" s="16">
        <f t="shared" si="0"/>
        <v>8.0793020453170445</v>
      </c>
      <c r="J57" s="15">
        <v>79744</v>
      </c>
      <c r="K57" s="15">
        <v>40337</v>
      </c>
      <c r="L57" s="48">
        <f t="shared" si="3"/>
        <v>50.583115971107539</v>
      </c>
      <c r="M57" s="15">
        <f t="shared" si="4"/>
        <v>68352</v>
      </c>
      <c r="N57" s="26">
        <v>0.67378499999999997</v>
      </c>
      <c r="O57" s="6">
        <v>76446</v>
      </c>
      <c r="P57" s="29">
        <v>32509.37</v>
      </c>
      <c r="Q57" s="41">
        <f t="shared" si="1"/>
        <v>42.525926798001201</v>
      </c>
      <c r="R57" s="48">
        <f t="shared" si="12"/>
        <v>34.446624752684158</v>
      </c>
      <c r="S57" s="10">
        <v>4667</v>
      </c>
      <c r="T57" s="10">
        <v>2237</v>
      </c>
      <c r="U57" s="47">
        <f t="shared" si="5"/>
        <v>47.932290550674949</v>
      </c>
      <c r="V57" s="16">
        <v>3301</v>
      </c>
      <c r="W57" s="29">
        <v>805</v>
      </c>
      <c r="X57" s="47">
        <f t="shared" si="6"/>
        <v>24.386549530445322</v>
      </c>
      <c r="Y57" s="6">
        <v>2086</v>
      </c>
      <c r="Z57" s="6">
        <v>766</v>
      </c>
      <c r="AA57" s="47">
        <f t="shared" si="7"/>
        <v>36.720997123681691</v>
      </c>
      <c r="AB57" s="6">
        <v>2276</v>
      </c>
      <c r="AC57" s="30">
        <v>703</v>
      </c>
      <c r="AD57" s="47">
        <f t="shared" si="8"/>
        <v>30.887521968365551</v>
      </c>
    </row>
    <row r="58" spans="1:30">
      <c r="A58" s="4">
        <v>53</v>
      </c>
      <c r="B58" s="1" t="s">
        <v>70</v>
      </c>
      <c r="C58" s="1" t="s">
        <v>1</v>
      </c>
      <c r="D58" s="2">
        <v>56</v>
      </c>
      <c r="E58" s="11">
        <v>5798.1</v>
      </c>
      <c r="F58" s="51">
        <f>267+17</f>
        <v>284</v>
      </c>
      <c r="G58" s="18">
        <f>(47*256)+(32*299)+(32*325)+(0*343)+(0*377)</f>
        <v>32000</v>
      </c>
      <c r="H58" s="16">
        <f>1.114*E58</f>
        <v>6459.0834000000013</v>
      </c>
      <c r="I58" s="16">
        <f t="shared" si="0"/>
        <v>20.184635625000006</v>
      </c>
      <c r="J58" s="15">
        <v>29861</v>
      </c>
      <c r="K58" s="15">
        <v>14939</v>
      </c>
      <c r="L58" s="48">
        <f t="shared" si="3"/>
        <v>50.028465222196175</v>
      </c>
      <c r="M58" s="15">
        <f t="shared" si="4"/>
        <v>25595.142857142859</v>
      </c>
      <c r="N58" s="26">
        <v>1.32552</v>
      </c>
      <c r="O58" s="6">
        <v>22517</v>
      </c>
      <c r="P58" s="29">
        <v>978.37</v>
      </c>
      <c r="Q58" s="42">
        <f t="shared" si="1"/>
        <v>4.3450282009148644</v>
      </c>
      <c r="R58" s="42">
        <f t="shared" si="12"/>
        <v>-15.839607424085141</v>
      </c>
      <c r="S58" s="10">
        <v>1026</v>
      </c>
      <c r="T58" s="10">
        <v>506</v>
      </c>
      <c r="U58" s="47">
        <f t="shared" si="5"/>
        <v>49.317738791423004</v>
      </c>
      <c r="V58" s="16">
        <v>701</v>
      </c>
      <c r="W58" s="29">
        <v>42</v>
      </c>
      <c r="X58" s="40">
        <f t="shared" si="6"/>
        <v>5.9914407988587737</v>
      </c>
      <c r="Y58" s="6">
        <v>416</v>
      </c>
      <c r="Z58" s="6">
        <v>182</v>
      </c>
      <c r="AA58" s="47">
        <f t="shared" si="7"/>
        <v>43.75</v>
      </c>
      <c r="AB58" s="6">
        <v>476</v>
      </c>
      <c r="AC58" s="30">
        <v>51</v>
      </c>
      <c r="AD58" s="28">
        <f t="shared" si="8"/>
        <v>10.714285714285715</v>
      </c>
    </row>
    <row r="59" spans="1:30">
      <c r="A59" s="4">
        <v>54</v>
      </c>
      <c r="B59" s="1" t="s">
        <v>71</v>
      </c>
      <c r="C59" s="1" t="s">
        <v>1</v>
      </c>
      <c r="D59" s="2" t="s">
        <v>72</v>
      </c>
      <c r="E59" s="11">
        <v>25970.7</v>
      </c>
      <c r="F59" s="51">
        <v>1312</v>
      </c>
      <c r="G59" s="18">
        <f>(63*179)+(198*224)+(170*251)+(34*270)+(0*270)</f>
        <v>107479</v>
      </c>
      <c r="H59" s="16">
        <f>0.957*E59</f>
        <v>24853.959899999998</v>
      </c>
      <c r="I59" s="16">
        <f t="shared" si="0"/>
        <v>23.124480037960904</v>
      </c>
      <c r="J59" s="15">
        <v>98114</v>
      </c>
      <c r="K59" s="15">
        <v>50612</v>
      </c>
      <c r="L59" s="48">
        <f t="shared" si="3"/>
        <v>51.584891045110787</v>
      </c>
      <c r="M59" s="15">
        <f t="shared" si="4"/>
        <v>84097.71428571429</v>
      </c>
      <c r="N59" s="26">
        <v>1.0786420000000001</v>
      </c>
      <c r="O59" s="6">
        <v>94435</v>
      </c>
      <c r="P59" s="29">
        <v>40444.69</v>
      </c>
      <c r="Q59" s="41">
        <f t="shared" si="1"/>
        <v>42.828072218986605</v>
      </c>
      <c r="R59" s="38">
        <f t="shared" si="12"/>
        <v>19.703592181025702</v>
      </c>
      <c r="S59" s="10">
        <v>6197</v>
      </c>
      <c r="T59" s="10">
        <v>3427</v>
      </c>
      <c r="U59" s="47">
        <f t="shared" si="5"/>
        <v>55.300952073583993</v>
      </c>
      <c r="V59" s="16">
        <v>3458</v>
      </c>
      <c r="W59" s="29">
        <v>700</v>
      </c>
      <c r="X59" s="28">
        <f t="shared" si="6"/>
        <v>20.242914979757085</v>
      </c>
      <c r="Y59" s="6">
        <v>1654</v>
      </c>
      <c r="Z59" s="6">
        <v>208</v>
      </c>
      <c r="AA59" s="28">
        <f t="shared" si="7"/>
        <v>12.575574365175333</v>
      </c>
      <c r="AB59" s="6">
        <v>4215</v>
      </c>
      <c r="AC59" s="30">
        <v>2461</v>
      </c>
      <c r="AD59" s="47">
        <f t="shared" si="8"/>
        <v>58.386714116251483</v>
      </c>
    </row>
    <row r="60" spans="1:30">
      <c r="A60" s="4">
        <v>55</v>
      </c>
      <c r="B60" s="1" t="s">
        <v>73</v>
      </c>
      <c r="C60" s="1" t="s">
        <v>74</v>
      </c>
      <c r="D60" s="2" t="s">
        <v>75</v>
      </c>
      <c r="E60" s="11">
        <v>847</v>
      </c>
      <c r="F60" s="51">
        <v>61</v>
      </c>
      <c r="G60" s="18">
        <f>(12*179)+(4*224)+(4*251)+(0*270)+(0*270)</f>
        <v>4048</v>
      </c>
      <c r="H60" s="16">
        <f>0.231*E60</f>
        <v>195.65700000000001</v>
      </c>
      <c r="I60" s="16">
        <f t="shared" si="0"/>
        <v>4.8334239130434788</v>
      </c>
      <c r="J60" s="15">
        <v>3261</v>
      </c>
      <c r="K60" s="15">
        <v>1114</v>
      </c>
      <c r="L60" s="48">
        <f t="shared" si="3"/>
        <v>34.161300214658084</v>
      </c>
      <c r="M60" s="15">
        <f t="shared" si="4"/>
        <v>2795.1428571428573</v>
      </c>
      <c r="N60" s="26">
        <v>0.71387500000000004</v>
      </c>
      <c r="O60" s="6">
        <v>3061</v>
      </c>
      <c r="P60" s="29">
        <v>477.97</v>
      </c>
      <c r="Q60" s="38">
        <f t="shared" si="1"/>
        <v>15.614831754328652</v>
      </c>
      <c r="R60" s="38">
        <f t="shared" si="12"/>
        <v>10.781407841285173</v>
      </c>
      <c r="S60" s="10">
        <v>165</v>
      </c>
      <c r="T60" s="10">
        <v>65</v>
      </c>
      <c r="U60" s="47">
        <f t="shared" si="5"/>
        <v>39.393939393939398</v>
      </c>
      <c r="V60" s="16">
        <v>132</v>
      </c>
      <c r="W60" s="29">
        <v>20.5</v>
      </c>
      <c r="X60" s="28">
        <f t="shared" si="6"/>
        <v>15.530303030303029</v>
      </c>
      <c r="Y60" s="6">
        <v>102</v>
      </c>
      <c r="Z60" s="6">
        <v>20</v>
      </c>
      <c r="AA60" s="28">
        <f t="shared" si="7"/>
        <v>19.607843137254903</v>
      </c>
      <c r="AB60" s="6">
        <v>74</v>
      </c>
      <c r="AC60" s="30">
        <v>-10</v>
      </c>
      <c r="AD60" s="40">
        <f t="shared" si="8"/>
        <v>-13.513513513513514</v>
      </c>
    </row>
    <row r="61" spans="1:30">
      <c r="A61" s="4">
        <v>56</v>
      </c>
      <c r="B61" s="3" t="s">
        <v>76</v>
      </c>
      <c r="C61" s="1" t="s">
        <v>77</v>
      </c>
      <c r="D61" s="2">
        <v>1</v>
      </c>
      <c r="E61" s="11">
        <v>55169.71</v>
      </c>
      <c r="F61" s="51">
        <f>2711+47</f>
        <v>2758</v>
      </c>
      <c r="G61" s="18">
        <f>(90*179)+(439*224)+(386*251)+(55*270)+(0*270)</f>
        <v>226182</v>
      </c>
      <c r="H61" s="16">
        <f>0.957*E61</f>
        <v>52797.412469999996</v>
      </c>
      <c r="I61" s="16">
        <f t="shared" si="0"/>
        <v>23.342888678144146</v>
      </c>
      <c r="J61" s="15">
        <v>181758</v>
      </c>
      <c r="K61" s="15">
        <v>81984</v>
      </c>
      <c r="L61" s="48">
        <f t="shared" si="3"/>
        <v>45.106130129072724</v>
      </c>
      <c r="M61" s="15">
        <f t="shared" si="4"/>
        <v>155792.57142857142</v>
      </c>
      <c r="N61" s="26">
        <v>0.65107099999999996</v>
      </c>
      <c r="O61" s="6">
        <v>226750</v>
      </c>
      <c r="P61" s="29">
        <v>111537.11</v>
      </c>
      <c r="Q61" s="41">
        <f t="shared" si="1"/>
        <v>49.189464167585449</v>
      </c>
      <c r="R61" s="48">
        <f t="shared" si="12"/>
        <v>25.846575489441303</v>
      </c>
      <c r="S61" s="10">
        <v>9972</v>
      </c>
      <c r="T61" s="10">
        <v>4172</v>
      </c>
      <c r="U61" s="47">
        <f t="shared" si="5"/>
        <v>41.837144003208984</v>
      </c>
      <c r="V61" s="16">
        <v>7320</v>
      </c>
      <c r="W61" s="29">
        <v>1533</v>
      </c>
      <c r="X61" s="47">
        <f t="shared" si="6"/>
        <v>20.942622950819672</v>
      </c>
      <c r="Y61" s="6">
        <v>3561</v>
      </c>
      <c r="Z61" s="6">
        <v>690</v>
      </c>
      <c r="AA61" s="28">
        <f t="shared" si="7"/>
        <v>19.376579612468408</v>
      </c>
      <c r="AB61" s="6">
        <v>4138</v>
      </c>
      <c r="AC61" s="30">
        <v>610</v>
      </c>
      <c r="AD61" s="28">
        <f t="shared" si="8"/>
        <v>14.741420976317061</v>
      </c>
    </row>
    <row r="62" spans="1:30">
      <c r="A62" s="4">
        <v>57</v>
      </c>
      <c r="B62" s="1" t="s">
        <v>94</v>
      </c>
      <c r="C62" s="1" t="s">
        <v>95</v>
      </c>
      <c r="D62" s="2">
        <v>9</v>
      </c>
      <c r="E62" s="11">
        <v>22604.1</v>
      </c>
      <c r="F62" s="51">
        <f>1333+19</f>
        <v>1352</v>
      </c>
      <c r="G62" s="18">
        <f>(78*179)+(146*224)+(176*251)+(58*270)+(1*270)</f>
        <v>106772</v>
      </c>
      <c r="H62" s="16">
        <f>0.401*E62</f>
        <v>9064.2440999999999</v>
      </c>
      <c r="I62" s="16">
        <f t="shared" si="0"/>
        <v>8.4893456149552318</v>
      </c>
      <c r="J62" s="15">
        <v>85292</v>
      </c>
      <c r="K62" s="15">
        <v>42896</v>
      </c>
      <c r="L62" s="48">
        <f t="shared" si="3"/>
        <v>50.293110725507667</v>
      </c>
      <c r="M62" s="15">
        <f t="shared" si="4"/>
        <v>73107.428571428565</v>
      </c>
      <c r="N62" s="26">
        <v>0.73841999999999997</v>
      </c>
      <c r="O62" s="6">
        <v>79914</v>
      </c>
      <c r="P62" s="29">
        <v>25134.16</v>
      </c>
      <c r="Q62" s="41">
        <f t="shared" si="1"/>
        <v>31.451510373651676</v>
      </c>
      <c r="R62" s="48">
        <f t="shared" si="12"/>
        <v>22.962164758696446</v>
      </c>
      <c r="S62" s="10">
        <v>4267</v>
      </c>
      <c r="T62" s="10">
        <v>1760</v>
      </c>
      <c r="U62" s="47">
        <f t="shared" si="5"/>
        <v>41.246777595500348</v>
      </c>
      <c r="V62" s="16">
        <v>3371</v>
      </c>
      <c r="W62" s="29">
        <v>480</v>
      </c>
      <c r="X62" s="28">
        <f t="shared" si="6"/>
        <v>14.239098190447939</v>
      </c>
      <c r="Y62" s="6">
        <v>2297</v>
      </c>
      <c r="Z62" s="6">
        <v>868</v>
      </c>
      <c r="AA62" s="47">
        <f t="shared" si="7"/>
        <v>37.788419677840665</v>
      </c>
      <c r="AB62" s="6">
        <v>2025</v>
      </c>
      <c r="AC62" s="30">
        <v>103</v>
      </c>
      <c r="AD62" s="40">
        <f t="shared" si="8"/>
        <v>5.0864197530864201</v>
      </c>
    </row>
    <row r="63" spans="1:30">
      <c r="A63" s="4">
        <v>58</v>
      </c>
      <c r="B63" s="1" t="s">
        <v>78</v>
      </c>
      <c r="C63" s="1" t="s">
        <v>1</v>
      </c>
      <c r="D63" s="2">
        <v>64</v>
      </c>
      <c r="E63" s="11">
        <v>20364.580000000002</v>
      </c>
      <c r="F63" s="51">
        <f>1204+17</f>
        <v>1221</v>
      </c>
      <c r="G63" s="18">
        <f>(69*179)+(265*224)+(113*251)+(10*270)+(0*270)</f>
        <v>102774</v>
      </c>
      <c r="H63" s="16">
        <f>0.401*E63</f>
        <v>8166.1965800000007</v>
      </c>
      <c r="I63" s="16">
        <f t="shared" si="0"/>
        <v>7.9457806254500172</v>
      </c>
      <c r="J63" s="15">
        <v>76047</v>
      </c>
      <c r="K63" s="15">
        <v>36951</v>
      </c>
      <c r="L63" s="48">
        <f t="shared" si="3"/>
        <v>48.589687956132387</v>
      </c>
      <c r="M63" s="15">
        <f t="shared" si="4"/>
        <v>65183.142857142862</v>
      </c>
      <c r="N63" s="26">
        <v>0.70350800000000002</v>
      </c>
      <c r="O63" s="6">
        <v>70841</v>
      </c>
      <c r="P63" s="29">
        <v>29996.19</v>
      </c>
      <c r="Q63" s="41">
        <f t="shared" si="1"/>
        <v>42.342979348117616</v>
      </c>
      <c r="R63" s="48">
        <f t="shared" si="12"/>
        <v>34.397198722667596</v>
      </c>
      <c r="S63" s="10">
        <v>4472</v>
      </c>
      <c r="T63" s="10">
        <v>2080</v>
      </c>
      <c r="U63" s="47">
        <f t="shared" si="5"/>
        <v>46.511627906976749</v>
      </c>
      <c r="V63" s="16">
        <v>3328</v>
      </c>
      <c r="W63" s="29">
        <v>1028</v>
      </c>
      <c r="X63" s="47">
        <f t="shared" si="6"/>
        <v>30.889423076923077</v>
      </c>
      <c r="Y63" s="6">
        <v>2761</v>
      </c>
      <c r="Z63" s="6">
        <v>1472</v>
      </c>
      <c r="AA63" s="47">
        <f t="shared" si="7"/>
        <v>53.314016660630209</v>
      </c>
      <c r="AB63" s="6">
        <v>2527</v>
      </c>
      <c r="AC63" s="30">
        <v>1069</v>
      </c>
      <c r="AD63" s="47">
        <f t="shared" si="8"/>
        <v>42.303126236644246</v>
      </c>
    </row>
    <row r="64" spans="1:30">
      <c r="A64" s="4">
        <v>59</v>
      </c>
      <c r="B64" s="1" t="s">
        <v>79</v>
      </c>
      <c r="C64" s="1" t="s">
        <v>1</v>
      </c>
      <c r="D64" s="2">
        <v>66</v>
      </c>
      <c r="E64" s="11">
        <v>5589.5</v>
      </c>
      <c r="F64" s="51">
        <f>255+14</f>
        <v>269</v>
      </c>
      <c r="G64" s="18">
        <f>(45*256)+(32*299)+(30*325)+(0*343)+(0*377)</f>
        <v>30838</v>
      </c>
      <c r="H64" s="16">
        <f>1.114*E64</f>
        <v>6226.7030000000004</v>
      </c>
      <c r="I64" s="16">
        <f t="shared" si="0"/>
        <v>20.191656397950581</v>
      </c>
      <c r="J64" s="15">
        <v>28102</v>
      </c>
      <c r="K64" s="15">
        <v>14177</v>
      </c>
      <c r="L64" s="48">
        <f t="shared" si="3"/>
        <v>50.448366664294362</v>
      </c>
      <c r="M64" s="15">
        <f t="shared" si="4"/>
        <v>24087.428571428572</v>
      </c>
      <c r="N64" s="26">
        <v>1.521614</v>
      </c>
      <c r="O64" s="6">
        <v>27621</v>
      </c>
      <c r="P64" s="29">
        <v>5500</v>
      </c>
      <c r="Q64" s="38">
        <f t="shared" si="1"/>
        <v>19.912385503783355</v>
      </c>
      <c r="R64" s="42">
        <f t="shared" si="12"/>
        <v>-0.27927089416722595</v>
      </c>
      <c r="S64" s="10">
        <v>920</v>
      </c>
      <c r="T64" s="10">
        <v>363</v>
      </c>
      <c r="U64" s="47">
        <f t="shared" si="5"/>
        <v>39.456521739130437</v>
      </c>
      <c r="V64" s="16">
        <v>655</v>
      </c>
      <c r="W64" s="29">
        <v>17</v>
      </c>
      <c r="X64" s="40">
        <f t="shared" si="6"/>
        <v>2.5954198473282442</v>
      </c>
      <c r="Y64" s="6">
        <v>511</v>
      </c>
      <c r="Z64" s="6">
        <v>236</v>
      </c>
      <c r="AA64" s="47">
        <f t="shared" si="7"/>
        <v>46.183953033268097</v>
      </c>
      <c r="AB64" s="6">
        <v>497</v>
      </c>
      <c r="AC64" s="30">
        <v>19</v>
      </c>
      <c r="AD64" s="40">
        <f t="shared" si="8"/>
        <v>3.8229376257545273</v>
      </c>
    </row>
    <row r="65" spans="1:30">
      <c r="A65" s="4">
        <v>60</v>
      </c>
      <c r="B65" s="1" t="s">
        <v>80</v>
      </c>
      <c r="C65" s="1" t="s">
        <v>1</v>
      </c>
      <c r="D65" s="2">
        <v>68</v>
      </c>
      <c r="E65" s="11">
        <v>26017.77</v>
      </c>
      <c r="F65" s="51">
        <f>1288+19</f>
        <v>1307</v>
      </c>
      <c r="G65" s="18">
        <f>(64*179)+(197*224)+(174*251)+(32*270)+(0*270)</f>
        <v>107898</v>
      </c>
      <c r="H65" s="16">
        <f>0.957*E65</f>
        <v>24899.00589</v>
      </c>
      <c r="I65" s="16">
        <f t="shared" si="0"/>
        <v>23.076429488961796</v>
      </c>
      <c r="J65" s="15">
        <v>95284</v>
      </c>
      <c r="K65" s="15">
        <v>46133</v>
      </c>
      <c r="L65" s="48">
        <f t="shared" si="3"/>
        <v>48.416313336971577</v>
      </c>
      <c r="M65" s="15">
        <f t="shared" si="4"/>
        <v>81672</v>
      </c>
      <c r="N65" s="26">
        <v>0.90125200000000005</v>
      </c>
      <c r="O65" s="6">
        <v>89731</v>
      </c>
      <c r="P65" s="29">
        <v>21799.919999999998</v>
      </c>
      <c r="Q65" s="41">
        <f t="shared" si="1"/>
        <v>24.294747634596739</v>
      </c>
      <c r="R65" s="42">
        <f t="shared" si="12"/>
        <v>1.2183181456349423</v>
      </c>
      <c r="S65" s="10">
        <v>4987</v>
      </c>
      <c r="T65" s="10">
        <v>2194</v>
      </c>
      <c r="U65" s="47">
        <f t="shared" si="5"/>
        <v>43.994385402045317</v>
      </c>
      <c r="V65" s="16">
        <v>3727</v>
      </c>
      <c r="W65" s="29">
        <v>90</v>
      </c>
      <c r="X65" s="40">
        <f t="shared" si="6"/>
        <v>2.4148108398175476</v>
      </c>
      <c r="Y65" s="6">
        <v>2859</v>
      </c>
      <c r="Z65" s="6">
        <v>1399</v>
      </c>
      <c r="AA65" s="47">
        <f t="shared" si="7"/>
        <v>48.933193424274222</v>
      </c>
      <c r="AB65" s="6">
        <v>2547</v>
      </c>
      <c r="AC65" s="30">
        <v>414</v>
      </c>
      <c r="AD65" s="28">
        <f t="shared" si="8"/>
        <v>16.254416961130744</v>
      </c>
    </row>
    <row r="66" spans="1:30">
      <c r="A66" s="4">
        <v>61</v>
      </c>
      <c r="B66" s="1" t="s">
        <v>81</v>
      </c>
      <c r="C66" s="1" t="s">
        <v>77</v>
      </c>
      <c r="D66" s="2" t="s">
        <v>82</v>
      </c>
      <c r="E66" s="11">
        <v>2403.1</v>
      </c>
      <c r="F66" s="51">
        <v>148</v>
      </c>
      <c r="G66" s="18">
        <f>(14*283)+(42*329)+(0*325)+(0*343)+(0*377)</f>
        <v>17780</v>
      </c>
      <c r="H66" s="16">
        <f>0.957*E66</f>
        <v>2299.7666999999997</v>
      </c>
      <c r="I66" s="16">
        <f t="shared" si="0"/>
        <v>12.93457086614173</v>
      </c>
      <c r="J66" s="15">
        <v>16099</v>
      </c>
      <c r="K66" s="15">
        <v>8116</v>
      </c>
      <c r="L66" s="48">
        <f t="shared" si="3"/>
        <v>50.413069134728865</v>
      </c>
      <c r="M66" s="15">
        <f t="shared" si="4"/>
        <v>13799.142857142857</v>
      </c>
      <c r="N66" s="26">
        <v>1.2224889999999999</v>
      </c>
      <c r="O66" s="6">
        <v>16945</v>
      </c>
      <c r="P66" s="29">
        <v>7038.19</v>
      </c>
      <c r="Q66" s="41">
        <f t="shared" si="1"/>
        <v>41.535497196813218</v>
      </c>
      <c r="R66" s="48">
        <f t="shared" si="12"/>
        <v>28.600926330671488</v>
      </c>
      <c r="S66" s="10">
        <v>554</v>
      </c>
      <c r="T66" s="10">
        <v>201</v>
      </c>
      <c r="U66" s="47">
        <f t="shared" si="5"/>
        <v>36.281588447653426</v>
      </c>
      <c r="V66" s="16">
        <v>454</v>
      </c>
      <c r="W66" s="29">
        <v>123</v>
      </c>
      <c r="X66" s="47">
        <f t="shared" si="6"/>
        <v>27.092511013215859</v>
      </c>
      <c r="Y66" s="6">
        <v>259</v>
      </c>
      <c r="Z66" s="6">
        <v>96</v>
      </c>
      <c r="AA66" s="47">
        <f t="shared" si="7"/>
        <v>37.06563706563707</v>
      </c>
      <c r="AB66" s="6">
        <v>228</v>
      </c>
      <c r="AC66" s="30">
        <v>42</v>
      </c>
      <c r="AD66" s="28">
        <f t="shared" si="8"/>
        <v>18.421052631578949</v>
      </c>
    </row>
    <row r="67" spans="1:30">
      <c r="A67" s="4">
        <v>62</v>
      </c>
      <c r="B67" s="1" t="s">
        <v>83</v>
      </c>
      <c r="C67" s="1" t="s">
        <v>77</v>
      </c>
      <c r="D67" s="2" t="s">
        <v>84</v>
      </c>
      <c r="E67" s="11">
        <v>4604.3</v>
      </c>
      <c r="F67" s="51">
        <v>311</v>
      </c>
      <c r="G67" s="18">
        <f>(1*283)+(2*329)+(1*357)+(35*377)+(0*377)</f>
        <v>14493</v>
      </c>
      <c r="H67" s="16">
        <f>1.114*E67</f>
        <v>5129.1902000000009</v>
      </c>
      <c r="I67" s="16">
        <f t="shared" si="0"/>
        <v>35.390810736217489</v>
      </c>
      <c r="J67" s="15">
        <v>41733</v>
      </c>
      <c r="K67" s="15">
        <v>30991</v>
      </c>
      <c r="L67" s="48">
        <f t="shared" si="3"/>
        <v>74.260177796947261</v>
      </c>
      <c r="M67" s="15">
        <f t="shared" si="4"/>
        <v>35771.142857142855</v>
      </c>
      <c r="N67" s="26">
        <v>3.0593469999999998</v>
      </c>
      <c r="O67" s="6">
        <v>45973</v>
      </c>
      <c r="P67" s="29">
        <v>33681.870000000003</v>
      </c>
      <c r="Q67" s="41">
        <f t="shared" si="1"/>
        <v>73.264459574097842</v>
      </c>
      <c r="R67" s="48">
        <f t="shared" si="12"/>
        <v>37.873648837880353</v>
      </c>
      <c r="S67" s="10">
        <v>1392</v>
      </c>
      <c r="T67" s="10">
        <v>732</v>
      </c>
      <c r="U67" s="47">
        <f t="shared" si="5"/>
        <v>52.586206896551722</v>
      </c>
      <c r="V67" s="16">
        <v>1012</v>
      </c>
      <c r="W67" s="29">
        <v>439</v>
      </c>
      <c r="X67" s="47">
        <f t="shared" si="6"/>
        <v>43.37944664031621</v>
      </c>
      <c r="Y67" s="6">
        <v>643</v>
      </c>
      <c r="Z67" s="6">
        <v>269</v>
      </c>
      <c r="AA67" s="47">
        <f t="shared" si="7"/>
        <v>41.835147744945573</v>
      </c>
      <c r="AB67" s="6">
        <v>672</v>
      </c>
      <c r="AC67" s="30">
        <v>263</v>
      </c>
      <c r="AD67" s="47">
        <f t="shared" si="8"/>
        <v>39.136904761904766</v>
      </c>
    </row>
    <row r="68" spans="1:30">
      <c r="A68" s="4">
        <v>63</v>
      </c>
      <c r="B68" s="1" t="s">
        <v>85</v>
      </c>
      <c r="C68" s="1" t="s">
        <v>77</v>
      </c>
      <c r="D68" s="2" t="s">
        <v>86</v>
      </c>
      <c r="E68" s="11">
        <v>3674.75</v>
      </c>
      <c r="F68" s="51">
        <v>305</v>
      </c>
      <c r="G68" s="18">
        <f>(136*283)+(0*329)+(1*357)+(1*377)+(0*377)</f>
        <v>39222</v>
      </c>
      <c r="H68" s="16">
        <f>1.114*E68</f>
        <v>4093.6715000000004</v>
      </c>
      <c r="I68" s="16">
        <f t="shared" si="0"/>
        <v>10.437181938707868</v>
      </c>
      <c r="J68" s="15">
        <v>34463</v>
      </c>
      <c r="K68" s="15">
        <v>25701</v>
      </c>
      <c r="L68" s="48">
        <f t="shared" si="3"/>
        <v>74.575631837042621</v>
      </c>
      <c r="M68" s="15">
        <f t="shared" si="4"/>
        <v>29539.714285714286</v>
      </c>
      <c r="N68" s="26">
        <v>1.4194910000000001</v>
      </c>
      <c r="O68" s="6">
        <v>38570</v>
      </c>
      <c r="P68" s="29">
        <v>28588.69</v>
      </c>
      <c r="Q68" s="41">
        <f t="shared" si="1"/>
        <v>74.12157116930257</v>
      </c>
      <c r="R68" s="48">
        <f t="shared" si="12"/>
        <v>63.684389230594704</v>
      </c>
      <c r="S68" s="10">
        <v>986</v>
      </c>
      <c r="T68" s="10">
        <v>546</v>
      </c>
      <c r="U68" s="47">
        <f t="shared" si="5"/>
        <v>55.375253549695742</v>
      </c>
      <c r="V68" s="16">
        <v>1376</v>
      </c>
      <c r="W68" s="29">
        <v>914</v>
      </c>
      <c r="X68" s="47">
        <f t="shared" si="6"/>
        <v>66.424418604651166</v>
      </c>
      <c r="Y68" s="6">
        <v>664</v>
      </c>
      <c r="Z68" s="6">
        <v>431</v>
      </c>
      <c r="AA68" s="47">
        <f t="shared" si="7"/>
        <v>64.909638554216869</v>
      </c>
      <c r="AB68" s="6">
        <v>531</v>
      </c>
      <c r="AC68" s="30">
        <v>251</v>
      </c>
      <c r="AD68" s="47">
        <f t="shared" si="8"/>
        <v>47.269303201506595</v>
      </c>
    </row>
    <row r="69" spans="1:30">
      <c r="A69" s="4">
        <v>64</v>
      </c>
      <c r="B69" s="1" t="s">
        <v>87</v>
      </c>
      <c r="C69" s="1" t="s">
        <v>77</v>
      </c>
      <c r="D69" s="2" t="s">
        <v>88</v>
      </c>
      <c r="E69" s="11">
        <v>2836.3</v>
      </c>
      <c r="F69" s="51">
        <v>168</v>
      </c>
      <c r="G69" s="18">
        <f>(2*283)+(0*329)+(2*357)+(27*377)+(3*377)</f>
        <v>12590</v>
      </c>
      <c r="H69" s="16">
        <f>0.957*E69</f>
        <v>2714.3391000000001</v>
      </c>
      <c r="I69" s="16">
        <f t="shared" si="0"/>
        <v>21.559484511517077</v>
      </c>
      <c r="J69" s="15">
        <v>28079</v>
      </c>
      <c r="K69" s="15">
        <v>22985</v>
      </c>
      <c r="L69" s="48">
        <f t="shared" si="3"/>
        <v>81.858328288044447</v>
      </c>
      <c r="M69" s="15">
        <f t="shared" si="4"/>
        <v>24067.714285714286</v>
      </c>
      <c r="N69" s="26">
        <v>3.814867</v>
      </c>
      <c r="O69" s="6">
        <v>25838</v>
      </c>
      <c r="P69" s="29">
        <v>20180.34</v>
      </c>
      <c r="Q69" s="41">
        <f t="shared" si="1"/>
        <v>78.103336171530302</v>
      </c>
      <c r="R69" s="48">
        <f t="shared" si="12"/>
        <v>56.543851660013225</v>
      </c>
      <c r="S69" s="10">
        <v>799</v>
      </c>
      <c r="T69" s="10">
        <v>-277</v>
      </c>
      <c r="U69" s="39">
        <f t="shared" si="5"/>
        <v>-34.668335419274094</v>
      </c>
      <c r="V69" s="16">
        <v>810</v>
      </c>
      <c r="W69" s="29">
        <v>-308</v>
      </c>
      <c r="X69" s="40">
        <f t="shared" si="6"/>
        <v>-38.02469135802469</v>
      </c>
      <c r="Y69" s="6">
        <v>507</v>
      </c>
      <c r="Z69" s="6">
        <v>354</v>
      </c>
      <c r="AA69" s="47">
        <f t="shared" si="7"/>
        <v>69.822485207100584</v>
      </c>
      <c r="AB69" s="6">
        <v>432</v>
      </c>
      <c r="AC69" s="30">
        <v>205</v>
      </c>
      <c r="AD69" s="47">
        <f t="shared" si="8"/>
        <v>47.453703703703702</v>
      </c>
    </row>
    <row r="70" spans="1:30">
      <c r="A70" s="4">
        <v>65</v>
      </c>
      <c r="B70" s="1" t="s">
        <v>89</v>
      </c>
      <c r="C70" s="1" t="s">
        <v>77</v>
      </c>
      <c r="D70" s="2" t="s">
        <v>90</v>
      </c>
      <c r="E70" s="11">
        <v>3098.9</v>
      </c>
      <c r="F70" s="51">
        <v>132</v>
      </c>
      <c r="G70" s="18">
        <f>(1*283)+(1*329)+(16*357)+(16*377)+(0*377)</f>
        <v>12356</v>
      </c>
      <c r="H70" s="16">
        <f>0.957*E70</f>
        <v>2965.6473000000001</v>
      </c>
      <c r="I70" s="16">
        <f t="shared" ref="I70:I80" si="13">H70/G70%</f>
        <v>24.001677727419878</v>
      </c>
      <c r="J70" s="15">
        <v>14059</v>
      </c>
      <c r="K70" s="15">
        <v>4642</v>
      </c>
      <c r="L70" s="48">
        <f t="shared" si="3"/>
        <v>33.017995590013513</v>
      </c>
      <c r="M70" s="15">
        <f t="shared" si="4"/>
        <v>12050.571428571429</v>
      </c>
      <c r="N70" s="26">
        <v>1.1274379999999999</v>
      </c>
      <c r="O70" s="6">
        <v>13659</v>
      </c>
      <c r="P70" s="29">
        <v>4734.01</v>
      </c>
      <c r="Q70" s="41">
        <f t="shared" si="1"/>
        <v>34.658540156673254</v>
      </c>
      <c r="R70" s="38">
        <f t="shared" ref="R70:R95" si="14">Q70-I70</f>
        <v>10.656862429253376</v>
      </c>
      <c r="S70" s="10">
        <v>350</v>
      </c>
      <c r="T70" s="10">
        <v>-335</v>
      </c>
      <c r="U70" s="39">
        <f t="shared" si="5"/>
        <v>-95.714285714285708</v>
      </c>
      <c r="V70" s="16">
        <v>637</v>
      </c>
      <c r="W70" s="29">
        <v>-271</v>
      </c>
      <c r="X70" s="40">
        <f t="shared" si="6"/>
        <v>-42.543171114599687</v>
      </c>
      <c r="Y70" s="6">
        <v>290</v>
      </c>
      <c r="Z70" s="6">
        <v>91</v>
      </c>
      <c r="AA70" s="47">
        <f t="shared" si="7"/>
        <v>31.379310344827587</v>
      </c>
      <c r="AB70" s="6">
        <v>279</v>
      </c>
      <c r="AC70" s="30">
        <v>91</v>
      </c>
      <c r="AD70" s="47">
        <f t="shared" si="8"/>
        <v>32.616487455197131</v>
      </c>
    </row>
    <row r="71" spans="1:30">
      <c r="A71" s="4">
        <v>66</v>
      </c>
      <c r="B71" s="1" t="s">
        <v>91</v>
      </c>
      <c r="C71" s="1" t="s">
        <v>77</v>
      </c>
      <c r="D71" s="2" t="s">
        <v>92</v>
      </c>
      <c r="E71" s="11">
        <v>4015</v>
      </c>
      <c r="F71" s="51">
        <v>246</v>
      </c>
      <c r="G71" s="18">
        <f>(2*313)+(1*363)+(5*393)+(33*416)+(5*416)</f>
        <v>18762</v>
      </c>
      <c r="H71" s="16">
        <f>1.114*E71</f>
        <v>4472.71</v>
      </c>
      <c r="I71" s="16">
        <f t="shared" si="13"/>
        <v>23.839196247734783</v>
      </c>
      <c r="J71" s="15">
        <v>36116</v>
      </c>
      <c r="K71" s="15">
        <v>21653</v>
      </c>
      <c r="L71" s="48">
        <f t="shared" ref="L71:L94" si="15">K71/J71%</f>
        <v>59.95403699191494</v>
      </c>
      <c r="M71" s="15">
        <f t="shared" ref="M71:M94" si="16">J71/35*30</f>
        <v>30956.571428571431</v>
      </c>
      <c r="N71" s="26">
        <v>2.1775389999999999</v>
      </c>
      <c r="O71" s="6">
        <v>38274</v>
      </c>
      <c r="P71" s="29">
        <v>20045.73</v>
      </c>
      <c r="Q71" s="41">
        <f t="shared" ref="Q71:Q94" si="17">P71/O71%</f>
        <v>52.374274964728009</v>
      </c>
      <c r="R71" s="48">
        <f t="shared" si="14"/>
        <v>28.535078716993226</v>
      </c>
      <c r="S71" s="10">
        <v>1042</v>
      </c>
      <c r="T71" s="10">
        <v>516</v>
      </c>
      <c r="U71" s="47">
        <f t="shared" ref="U71:U94" si="18">T71/S71%</f>
        <v>49.520153550863725</v>
      </c>
      <c r="V71" s="16">
        <v>719</v>
      </c>
      <c r="W71" s="29">
        <v>145</v>
      </c>
      <c r="X71" s="28">
        <f t="shared" ref="X71:X94" si="19">W71/V71%</f>
        <v>20.166898470097355</v>
      </c>
      <c r="Y71" s="6">
        <v>615</v>
      </c>
      <c r="Z71" s="6">
        <v>286</v>
      </c>
      <c r="AA71" s="47">
        <f t="shared" ref="AA71:AA94" si="20">Z71/Y71%</f>
        <v>46.504065040650403</v>
      </c>
      <c r="AB71" s="6">
        <v>511</v>
      </c>
      <c r="AC71" s="30">
        <v>96</v>
      </c>
      <c r="AD71" s="28">
        <f t="shared" ref="AD71:AD94" si="21">AC71/AB71%</f>
        <v>18.786692759295498</v>
      </c>
    </row>
    <row r="72" spans="1:30">
      <c r="A72" s="4">
        <v>67</v>
      </c>
      <c r="B72" s="1" t="s">
        <v>93</v>
      </c>
      <c r="C72" s="1" t="s">
        <v>74</v>
      </c>
      <c r="D72" s="2">
        <v>26</v>
      </c>
      <c r="E72" s="11">
        <v>30175.59</v>
      </c>
      <c r="F72" s="51">
        <v>1513</v>
      </c>
      <c r="G72" s="18">
        <f>(47*179)+(253*224)+(212*251)+(25*270)+(0*270)</f>
        <v>125047</v>
      </c>
      <c r="H72" s="16">
        <f>0.957*E72</f>
        <v>28878.039629999999</v>
      </c>
      <c r="I72" s="16">
        <f t="shared" si="13"/>
        <v>23.093748454581075</v>
      </c>
      <c r="J72" s="15">
        <v>108489</v>
      </c>
      <c r="K72" s="15">
        <v>52870</v>
      </c>
      <c r="L72" s="48">
        <f t="shared" si="15"/>
        <v>48.733051277087995</v>
      </c>
      <c r="M72" s="15">
        <f t="shared" si="16"/>
        <v>92990.571428571435</v>
      </c>
      <c r="N72" s="26">
        <v>0.922512</v>
      </c>
      <c r="O72" s="6">
        <v>101519</v>
      </c>
      <c r="P72" s="29">
        <v>29857.29</v>
      </c>
      <c r="Q72" s="41">
        <f t="shared" si="17"/>
        <v>29.410543839084308</v>
      </c>
      <c r="R72" s="42">
        <f t="shared" si="14"/>
        <v>6.3167953845032336</v>
      </c>
      <c r="S72" s="10">
        <v>5514</v>
      </c>
      <c r="T72" s="10">
        <v>2219</v>
      </c>
      <c r="U72" s="47">
        <f t="shared" si="18"/>
        <v>40.243017772941606</v>
      </c>
      <c r="V72" s="16">
        <v>3937</v>
      </c>
      <c r="W72" s="29">
        <v>247</v>
      </c>
      <c r="X72" s="40">
        <f>W72/V72%</f>
        <v>6.2738125476250959</v>
      </c>
      <c r="Y72" s="6">
        <v>2345</v>
      </c>
      <c r="Z72" s="6">
        <v>661</v>
      </c>
      <c r="AA72" s="47">
        <f t="shared" si="20"/>
        <v>28.187633262260128</v>
      </c>
      <c r="AB72" s="6">
        <v>3378</v>
      </c>
      <c r="AC72" s="30">
        <v>1110</v>
      </c>
      <c r="AD72" s="47">
        <f t="shared" si="21"/>
        <v>32.859680284191832</v>
      </c>
    </row>
    <row r="73" spans="1:30">
      <c r="A73" s="4">
        <v>68</v>
      </c>
      <c r="B73" s="3" t="s">
        <v>96</v>
      </c>
      <c r="C73" s="1" t="s">
        <v>1</v>
      </c>
      <c r="D73" s="2">
        <v>72</v>
      </c>
      <c r="E73" s="11">
        <v>9167.76</v>
      </c>
      <c r="F73" s="51">
        <v>548</v>
      </c>
      <c r="G73" s="18">
        <f>(36*179)+(105*224)+(52*251)+(10*270)+(0*270)</f>
        <v>45716</v>
      </c>
      <c r="H73" s="16">
        <f>0.671*E73</f>
        <v>6151.5669600000001</v>
      </c>
      <c r="I73" s="16">
        <f t="shared" si="13"/>
        <v>13.45604812319538</v>
      </c>
      <c r="J73" s="15">
        <v>32352</v>
      </c>
      <c r="K73" s="15">
        <v>16598</v>
      </c>
      <c r="L73" s="48">
        <f t="shared" si="15"/>
        <v>51.304401582591495</v>
      </c>
      <c r="M73" s="15">
        <f t="shared" si="16"/>
        <v>27730.285714285714</v>
      </c>
      <c r="N73" s="26">
        <v>0.57361600000000001</v>
      </c>
      <c r="O73" s="6">
        <v>30384</v>
      </c>
      <c r="P73" s="29">
        <v>11519.8</v>
      </c>
      <c r="Q73" s="41">
        <f t="shared" si="17"/>
        <v>37.914033701948398</v>
      </c>
      <c r="R73" s="48">
        <f t="shared" si="14"/>
        <v>24.457985578753018</v>
      </c>
      <c r="S73" s="10">
        <v>1779</v>
      </c>
      <c r="T73" s="10">
        <v>779</v>
      </c>
      <c r="U73" s="47">
        <f t="shared" si="18"/>
        <v>43.788645306351889</v>
      </c>
      <c r="V73" s="16">
        <v>1384</v>
      </c>
      <c r="W73" s="29">
        <v>270</v>
      </c>
      <c r="X73" s="28">
        <f t="shared" si="19"/>
        <v>19.508670520231213</v>
      </c>
      <c r="Y73" s="6">
        <v>1068</v>
      </c>
      <c r="Z73" s="6">
        <v>210</v>
      </c>
      <c r="AA73" s="28">
        <f t="shared" si="20"/>
        <v>19.662921348314608</v>
      </c>
      <c r="AB73" s="6">
        <v>873</v>
      </c>
      <c r="AC73" s="30">
        <v>259</v>
      </c>
      <c r="AD73" s="47">
        <f t="shared" si="21"/>
        <v>29.667812142038944</v>
      </c>
    </row>
    <row r="74" spans="1:30">
      <c r="A74" s="4">
        <v>69</v>
      </c>
      <c r="B74" s="1" t="s">
        <v>97</v>
      </c>
      <c r="C74" s="1" t="s">
        <v>1</v>
      </c>
      <c r="D74" s="2">
        <v>74</v>
      </c>
      <c r="E74" s="12">
        <v>8393.1</v>
      </c>
      <c r="F74" s="51">
        <v>498</v>
      </c>
      <c r="G74" s="18">
        <f>(27*179)+(90*224)+(51*251)+(10*270)+(0*270)</f>
        <v>40494</v>
      </c>
      <c r="H74" s="16">
        <f>0.671*E74</f>
        <v>5631.7701000000006</v>
      </c>
      <c r="I74" s="16">
        <f t="shared" si="13"/>
        <v>13.90766558008594</v>
      </c>
      <c r="J74" s="15">
        <v>30552</v>
      </c>
      <c r="K74" s="15">
        <v>13420</v>
      </c>
      <c r="L74" s="48">
        <f t="shared" si="15"/>
        <v>43.925111285676884</v>
      </c>
      <c r="M74" s="15">
        <f t="shared" si="16"/>
        <v>26187.428571428572</v>
      </c>
      <c r="N74" s="26">
        <v>0.78418200000000005</v>
      </c>
      <c r="O74" s="6">
        <v>29390</v>
      </c>
      <c r="P74" s="29">
        <v>12053.5</v>
      </c>
      <c r="Q74" s="41">
        <f t="shared" si="17"/>
        <v>41.012249064307589</v>
      </c>
      <c r="R74" s="48">
        <f t="shared" si="14"/>
        <v>27.104583484221649</v>
      </c>
      <c r="S74" s="10">
        <v>1718</v>
      </c>
      <c r="T74" s="10">
        <v>648</v>
      </c>
      <c r="U74" s="47">
        <f t="shared" si="18"/>
        <v>37.718277066356229</v>
      </c>
      <c r="V74" s="16">
        <v>1382</v>
      </c>
      <c r="W74" s="29">
        <v>375</v>
      </c>
      <c r="X74" s="47">
        <f t="shared" si="19"/>
        <v>27.134587554269174</v>
      </c>
      <c r="Y74" s="6">
        <v>952</v>
      </c>
      <c r="Z74" s="6">
        <v>375</v>
      </c>
      <c r="AA74" s="47">
        <f t="shared" si="20"/>
        <v>39.390756302521012</v>
      </c>
      <c r="AB74" s="6">
        <v>785</v>
      </c>
      <c r="AC74" s="30">
        <v>160</v>
      </c>
      <c r="AD74" s="28">
        <f t="shared" si="21"/>
        <v>20.382165605095544</v>
      </c>
    </row>
    <row r="75" spans="1:30">
      <c r="A75" s="4">
        <v>70</v>
      </c>
      <c r="B75" s="1" t="s">
        <v>98</v>
      </c>
      <c r="C75" s="1" t="s">
        <v>1</v>
      </c>
      <c r="D75" s="2">
        <v>78</v>
      </c>
      <c r="E75" s="11">
        <v>5721.7</v>
      </c>
      <c r="F75" s="51">
        <v>256</v>
      </c>
      <c r="G75" s="18">
        <f>(47*256)+(32*299)+(32*325)+(0*343)+(0*377)</f>
        <v>32000</v>
      </c>
      <c r="H75" s="16">
        <f>1.114*E75</f>
        <v>6373.9738000000007</v>
      </c>
      <c r="I75" s="16">
        <f t="shared" si="13"/>
        <v>19.918668125000003</v>
      </c>
      <c r="J75" s="15">
        <v>31874</v>
      </c>
      <c r="K75" s="15">
        <v>15166</v>
      </c>
      <c r="L75" s="48">
        <f t="shared" si="15"/>
        <v>47.581100583547716</v>
      </c>
      <c r="M75" s="15">
        <f t="shared" si="16"/>
        <v>27320.571428571428</v>
      </c>
      <c r="N75" s="26">
        <v>1.590814</v>
      </c>
      <c r="O75" s="6">
        <v>28611</v>
      </c>
      <c r="P75" s="29">
        <v>11496.63</v>
      </c>
      <c r="Q75" s="41">
        <f t="shared" si="17"/>
        <v>40.182552165251124</v>
      </c>
      <c r="R75" s="38">
        <f t="shared" si="14"/>
        <v>20.263884040251121</v>
      </c>
      <c r="S75" s="10">
        <v>955</v>
      </c>
      <c r="T75" s="10">
        <v>280</v>
      </c>
      <c r="U75" s="47">
        <f t="shared" si="18"/>
        <v>29.319371727748688</v>
      </c>
      <c r="V75" s="16">
        <v>719</v>
      </c>
      <c r="W75" s="29">
        <v>128</v>
      </c>
      <c r="X75" s="28">
        <f t="shared" si="19"/>
        <v>17.802503477051459</v>
      </c>
      <c r="Y75" s="6">
        <v>482</v>
      </c>
      <c r="Z75" s="6">
        <v>204</v>
      </c>
      <c r="AA75" s="47">
        <f t="shared" si="20"/>
        <v>42.323651452282157</v>
      </c>
      <c r="AB75" s="6">
        <v>536</v>
      </c>
      <c r="AC75" s="30">
        <v>210</v>
      </c>
      <c r="AD75" s="47">
        <f t="shared" si="21"/>
        <v>39.179104477611936</v>
      </c>
    </row>
    <row r="76" spans="1:30">
      <c r="A76" s="4">
        <v>71</v>
      </c>
      <c r="B76" s="1" t="s">
        <v>99</v>
      </c>
      <c r="C76" s="1" t="s">
        <v>95</v>
      </c>
      <c r="D76" s="2">
        <v>13</v>
      </c>
      <c r="E76" s="11">
        <v>17031.060000000001</v>
      </c>
      <c r="F76" s="51">
        <f>1083+19</f>
        <v>1102</v>
      </c>
      <c r="G76" s="18">
        <f>(62*179)+(150*224)+(112*251)+(30*270)+(0*270)</f>
        <v>80910</v>
      </c>
      <c r="H76" s="16">
        <f>0.671*E76</f>
        <v>11427.841260000001</v>
      </c>
      <c r="I76" s="16">
        <f t="shared" si="13"/>
        <v>14.124139488320356</v>
      </c>
      <c r="J76" s="15">
        <v>70612</v>
      </c>
      <c r="K76" s="15">
        <v>39261</v>
      </c>
      <c r="L76" s="48">
        <f t="shared" si="15"/>
        <v>55.601030986234633</v>
      </c>
      <c r="M76" s="15">
        <f t="shared" si="16"/>
        <v>60524.571428571428</v>
      </c>
      <c r="N76" s="26">
        <v>0.82036799999999999</v>
      </c>
      <c r="O76" s="6">
        <v>66575</v>
      </c>
      <c r="P76" s="29">
        <v>31689.81</v>
      </c>
      <c r="Q76" s="41">
        <f t="shared" si="17"/>
        <v>47.600165227187382</v>
      </c>
      <c r="R76" s="48">
        <f t="shared" si="14"/>
        <v>33.476025738867023</v>
      </c>
      <c r="S76" s="10">
        <v>4201</v>
      </c>
      <c r="T76" s="10">
        <v>2086</v>
      </c>
      <c r="U76" s="47">
        <f t="shared" si="18"/>
        <v>49.654844084741733</v>
      </c>
      <c r="V76" s="16">
        <v>3267</v>
      </c>
      <c r="W76" s="29">
        <v>1150</v>
      </c>
      <c r="X76" s="47">
        <f t="shared" si="19"/>
        <v>35.200489745944289</v>
      </c>
      <c r="Y76" s="6">
        <v>2612</v>
      </c>
      <c r="Z76" s="6">
        <v>1414</v>
      </c>
      <c r="AA76" s="47">
        <f t="shared" si="20"/>
        <v>54.134762633996935</v>
      </c>
      <c r="AB76" s="6">
        <v>1992</v>
      </c>
      <c r="AC76" s="30">
        <v>577</v>
      </c>
      <c r="AD76" s="47">
        <f t="shared" si="21"/>
        <v>28.96586345381526</v>
      </c>
    </row>
    <row r="77" spans="1:30">
      <c r="A77" s="4">
        <v>72</v>
      </c>
      <c r="B77" s="1" t="s">
        <v>100</v>
      </c>
      <c r="C77" s="1" t="s">
        <v>77</v>
      </c>
      <c r="D77" s="2">
        <v>23</v>
      </c>
      <c r="E77" s="11">
        <v>21736.3</v>
      </c>
      <c r="F77" s="51">
        <f>1039+17</f>
        <v>1056</v>
      </c>
      <c r="G77" s="18">
        <f>(37*179)+(185*224)+(155*251)+(16*270)+(0*270)</f>
        <v>91288</v>
      </c>
      <c r="H77" s="16">
        <f>0.957*E77</f>
        <v>20801.639099999997</v>
      </c>
      <c r="I77" s="16">
        <f t="shared" si="13"/>
        <v>22.78682751292612</v>
      </c>
      <c r="J77" s="15">
        <v>84143</v>
      </c>
      <c r="K77" s="15">
        <v>44642</v>
      </c>
      <c r="L77" s="48">
        <f t="shared" si="15"/>
        <v>53.054918412702186</v>
      </c>
      <c r="M77" s="15">
        <f t="shared" si="16"/>
        <v>72122.571428571435</v>
      </c>
      <c r="N77" s="26">
        <v>1.2152259999999999</v>
      </c>
      <c r="O77" s="6">
        <v>73698</v>
      </c>
      <c r="P77" s="29">
        <v>30203.45</v>
      </c>
      <c r="Q77" s="41">
        <f t="shared" si="17"/>
        <v>40.982726803983823</v>
      </c>
      <c r="R77" s="38">
        <f t="shared" si="14"/>
        <v>18.195899291057703</v>
      </c>
      <c r="S77" s="10">
        <v>3950</v>
      </c>
      <c r="T77" s="10">
        <v>780</v>
      </c>
      <c r="U77" s="28">
        <f t="shared" si="18"/>
        <v>19.746835443037973</v>
      </c>
      <c r="V77" s="16">
        <v>3222</v>
      </c>
      <c r="W77" s="29">
        <v>1028</v>
      </c>
      <c r="X77" s="47">
        <f t="shared" si="19"/>
        <v>31.905648665425204</v>
      </c>
      <c r="Y77" s="6">
        <v>1553</v>
      </c>
      <c r="Z77" s="6">
        <v>310</v>
      </c>
      <c r="AA77" s="28">
        <f t="shared" si="20"/>
        <v>19.961365099806827</v>
      </c>
      <c r="AB77" s="6">
        <v>1455</v>
      </c>
      <c r="AC77" s="30">
        <v>94</v>
      </c>
      <c r="AD77" s="40">
        <f t="shared" si="21"/>
        <v>6.4604810996563566</v>
      </c>
    </row>
    <row r="78" spans="1:30">
      <c r="A78" s="4">
        <v>73</v>
      </c>
      <c r="B78" s="1" t="s">
        <v>105</v>
      </c>
      <c r="C78" s="1" t="s">
        <v>106</v>
      </c>
      <c r="D78" s="2">
        <v>25</v>
      </c>
      <c r="E78" s="11">
        <v>4196.8999999999996</v>
      </c>
      <c r="F78" s="51">
        <v>250</v>
      </c>
      <c r="G78" s="18">
        <f>(28*179)+(56*224)+(14*251)+(0*270)+(0*270)</f>
        <v>21070</v>
      </c>
      <c r="H78" s="16">
        <f>1.114*E78</f>
        <v>4675.3465999999999</v>
      </c>
      <c r="I78" s="16">
        <f t="shared" si="13"/>
        <v>22.189589938300902</v>
      </c>
      <c r="J78" s="15">
        <v>16310</v>
      </c>
      <c r="K78" s="15">
        <v>7811</v>
      </c>
      <c r="L78" s="48">
        <f t="shared" si="15"/>
        <v>47.890864500306563</v>
      </c>
      <c r="M78" s="15">
        <f t="shared" si="16"/>
        <v>13980</v>
      </c>
      <c r="N78" s="26">
        <v>1.0009650000000001</v>
      </c>
      <c r="O78" s="6">
        <v>16729</v>
      </c>
      <c r="P78" s="29">
        <v>3350</v>
      </c>
      <c r="Q78" s="38">
        <f t="shared" si="17"/>
        <v>20.025106103174128</v>
      </c>
      <c r="R78" s="42">
        <f t="shared" si="14"/>
        <v>-2.1644838351267737</v>
      </c>
      <c r="S78" s="10">
        <v>893</v>
      </c>
      <c r="T78" s="10">
        <v>405</v>
      </c>
      <c r="U78" s="47">
        <f t="shared" si="18"/>
        <v>45.352743561030238</v>
      </c>
      <c r="V78" s="16">
        <v>710</v>
      </c>
      <c r="W78" s="29">
        <v>95</v>
      </c>
      <c r="X78" s="28">
        <f t="shared" si="19"/>
        <v>13.380281690140846</v>
      </c>
      <c r="Y78" s="6">
        <v>446</v>
      </c>
      <c r="Z78" s="6">
        <v>196</v>
      </c>
      <c r="AA78" s="49">
        <f t="shared" si="20"/>
        <v>43.946188340807176</v>
      </c>
      <c r="AB78" s="6">
        <v>424</v>
      </c>
      <c r="AC78" s="30">
        <v>58</v>
      </c>
      <c r="AD78" s="28">
        <f t="shared" si="21"/>
        <v>13.679245283018867</v>
      </c>
    </row>
    <row r="79" spans="1:30">
      <c r="A79" s="4">
        <v>74</v>
      </c>
      <c r="B79" s="1" t="s">
        <v>101</v>
      </c>
      <c r="C79" s="1" t="s">
        <v>6</v>
      </c>
      <c r="D79" s="2" t="s">
        <v>102</v>
      </c>
      <c r="E79" s="11">
        <v>2359.1</v>
      </c>
      <c r="F79" s="51">
        <v>103</v>
      </c>
      <c r="G79" s="18">
        <f>(36*179)+(18*224)+(0*251)+(0*270)+(0*270)</f>
        <v>10476</v>
      </c>
      <c r="H79" s="16">
        <f>1.114*E79</f>
        <v>2628.0374000000002</v>
      </c>
      <c r="I79" s="16">
        <f t="shared" si="13"/>
        <v>25.086267659411991</v>
      </c>
      <c r="J79" s="15">
        <v>9747</v>
      </c>
      <c r="K79" s="15">
        <v>4669</v>
      </c>
      <c r="L79" s="48">
        <f t="shared" si="15"/>
        <v>47.901918539037652</v>
      </c>
      <c r="M79" s="15">
        <f t="shared" si="16"/>
        <v>8354.5714285714275</v>
      </c>
      <c r="N79" s="26">
        <v>0.91306200000000004</v>
      </c>
      <c r="O79" s="6">
        <v>9480</v>
      </c>
      <c r="P79" s="29">
        <v>3597.47</v>
      </c>
      <c r="Q79" s="41">
        <f t="shared" si="17"/>
        <v>37.947995780590716</v>
      </c>
      <c r="R79" s="38">
        <f t="shared" si="14"/>
        <v>12.861728121178725</v>
      </c>
      <c r="S79" s="10">
        <v>369</v>
      </c>
      <c r="T79" s="10">
        <v>109</v>
      </c>
      <c r="U79" s="47">
        <f t="shared" si="18"/>
        <v>29.539295392953932</v>
      </c>
      <c r="V79" s="16">
        <v>337</v>
      </c>
      <c r="W79" s="29">
        <v>75</v>
      </c>
      <c r="X79" s="47">
        <f t="shared" si="19"/>
        <v>22.255192878338278</v>
      </c>
      <c r="Y79" s="6">
        <v>338</v>
      </c>
      <c r="Z79" s="6">
        <v>210</v>
      </c>
      <c r="AA79" s="49">
        <f t="shared" si="20"/>
        <v>62.130177514792898</v>
      </c>
      <c r="AB79" s="6">
        <v>271</v>
      </c>
      <c r="AC79" s="30">
        <v>102</v>
      </c>
      <c r="AD79" s="47">
        <f t="shared" si="21"/>
        <v>37.638376383763841</v>
      </c>
    </row>
    <row r="80" spans="1:30">
      <c r="A80" s="4">
        <v>75</v>
      </c>
      <c r="B80" s="1" t="s">
        <v>103</v>
      </c>
      <c r="C80" s="1" t="s">
        <v>6</v>
      </c>
      <c r="D80" s="2" t="s">
        <v>104</v>
      </c>
      <c r="E80" s="11">
        <v>2324.25</v>
      </c>
      <c r="F80" s="51">
        <v>122</v>
      </c>
      <c r="G80" s="18">
        <f>(34*179)+(18*224)+(1*251)+(0*270)+(0*270)</f>
        <v>10369</v>
      </c>
      <c r="H80" s="16">
        <f>1.114*E80</f>
        <v>2589.2145</v>
      </c>
      <c r="I80" s="16">
        <f t="shared" si="13"/>
        <v>24.970725238692257</v>
      </c>
      <c r="J80" s="15">
        <v>9230</v>
      </c>
      <c r="K80" s="15">
        <v>5128</v>
      </c>
      <c r="L80" s="48">
        <f t="shared" si="15"/>
        <v>55.557963163596966</v>
      </c>
      <c r="M80" s="15">
        <f t="shared" si="16"/>
        <v>7911.4285714285716</v>
      </c>
      <c r="N80" s="26">
        <v>1.0574049999999999</v>
      </c>
      <c r="O80" s="6">
        <v>9070</v>
      </c>
      <c r="P80" s="29">
        <v>1364.85</v>
      </c>
      <c r="Q80" s="38">
        <f t="shared" si="17"/>
        <v>15.047960308710032</v>
      </c>
      <c r="R80" s="42">
        <f t="shared" si="14"/>
        <v>-9.9227649299822254</v>
      </c>
      <c r="S80" s="10">
        <v>405</v>
      </c>
      <c r="T80" s="10">
        <v>259</v>
      </c>
      <c r="U80" s="47">
        <f t="shared" si="18"/>
        <v>63.950617283950621</v>
      </c>
      <c r="V80" s="16">
        <v>342</v>
      </c>
      <c r="W80" s="29">
        <v>-22</v>
      </c>
      <c r="X80" s="40">
        <f t="shared" si="19"/>
        <v>-6.4327485380116958</v>
      </c>
      <c r="Y80" s="6">
        <v>317</v>
      </c>
      <c r="Z80" s="6">
        <v>244</v>
      </c>
      <c r="AA80" s="49">
        <f t="shared" si="20"/>
        <v>76.971608832807576</v>
      </c>
      <c r="AB80" s="6">
        <v>254</v>
      </c>
      <c r="AC80" s="30">
        <v>-38</v>
      </c>
      <c r="AD80" s="40">
        <f t="shared" si="21"/>
        <v>-14.960629921259843</v>
      </c>
    </row>
    <row r="81" spans="1:30">
      <c r="A81" s="4">
        <v>76</v>
      </c>
      <c r="B81" s="1" t="s">
        <v>107</v>
      </c>
      <c r="C81" s="1" t="s">
        <v>6</v>
      </c>
      <c r="D81" s="2">
        <v>99</v>
      </c>
      <c r="E81" s="11">
        <v>14176.3</v>
      </c>
      <c r="F81" s="51">
        <v>845</v>
      </c>
      <c r="G81" s="18">
        <f>(63*179)+(69*224)+(146*251)+(9*270)+(0*270)</f>
        <v>65809</v>
      </c>
      <c r="H81" s="16">
        <f>0.957*E81</f>
        <v>13566.719099999998</v>
      </c>
      <c r="I81" s="16">
        <f>H81/G81%</f>
        <v>20.615294412618333</v>
      </c>
      <c r="J81" s="15">
        <v>53445</v>
      </c>
      <c r="K81" s="15">
        <v>26363</v>
      </c>
      <c r="L81" s="48">
        <f t="shared" si="15"/>
        <v>49.32734586958555</v>
      </c>
      <c r="M81" s="15">
        <f t="shared" si="16"/>
        <v>45810</v>
      </c>
      <c r="N81" s="26">
        <v>0.96082299999999998</v>
      </c>
      <c r="O81" s="6">
        <v>53403</v>
      </c>
      <c r="P81" s="29">
        <v>23151.33</v>
      </c>
      <c r="Q81" s="41">
        <f t="shared" si="17"/>
        <v>43.352115049716311</v>
      </c>
      <c r="R81" s="48">
        <f t="shared" si="14"/>
        <v>22.736820637097978</v>
      </c>
      <c r="S81" s="10">
        <v>2562</v>
      </c>
      <c r="T81" s="10">
        <v>1003</v>
      </c>
      <c r="U81" s="47">
        <f t="shared" si="18"/>
        <v>39.149102263856363</v>
      </c>
      <c r="V81" s="16">
        <v>1990</v>
      </c>
      <c r="W81" s="29">
        <v>401</v>
      </c>
      <c r="X81" s="28">
        <f t="shared" si="19"/>
        <v>20.150753768844222</v>
      </c>
      <c r="Y81" s="6">
        <v>1524</v>
      </c>
      <c r="Z81" s="6">
        <v>551</v>
      </c>
      <c r="AA81" s="49">
        <f t="shared" si="20"/>
        <v>36.15485564304462</v>
      </c>
      <c r="AB81" s="6">
        <v>1175</v>
      </c>
      <c r="AC81" s="30">
        <v>50</v>
      </c>
      <c r="AD81" s="40">
        <f t="shared" si="21"/>
        <v>4.2553191489361701</v>
      </c>
    </row>
    <row r="82" spans="1:30">
      <c r="A82" s="4">
        <v>77</v>
      </c>
      <c r="B82" s="1" t="s">
        <v>108</v>
      </c>
      <c r="C82" s="1" t="s">
        <v>6</v>
      </c>
      <c r="D82" s="23" t="s">
        <v>127</v>
      </c>
      <c r="E82" s="11">
        <v>7355</v>
      </c>
      <c r="F82" s="51">
        <v>324</v>
      </c>
      <c r="G82" s="18">
        <f>(36*179)+(37*224)+(35*251)+(0*270)+(0*270)</f>
        <v>23517</v>
      </c>
      <c r="H82" s="16">
        <f>1.114*E82</f>
        <v>8193.4700000000012</v>
      </c>
      <c r="I82" s="16">
        <f t="shared" ref="I82:I94" si="22">H82/G82%</f>
        <v>34.840625930178177</v>
      </c>
      <c r="J82" s="15">
        <v>26100</v>
      </c>
      <c r="K82" s="15">
        <v>15584</v>
      </c>
      <c r="L82" s="48">
        <f t="shared" si="15"/>
        <v>59.708812260536398</v>
      </c>
      <c r="M82" s="15">
        <f t="shared" si="16"/>
        <v>22371.428571428569</v>
      </c>
      <c r="N82" s="26">
        <v>1.090101</v>
      </c>
      <c r="O82" s="6">
        <v>27100</v>
      </c>
      <c r="P82" s="29">
        <v>13443.66</v>
      </c>
      <c r="Q82" s="41">
        <f t="shared" si="17"/>
        <v>49.607601476014757</v>
      </c>
      <c r="R82" s="38">
        <f t="shared" si="14"/>
        <v>14.76697554583658</v>
      </c>
      <c r="S82" s="10">
        <v>856</v>
      </c>
      <c r="T82" s="10">
        <v>261</v>
      </c>
      <c r="U82" s="47">
        <f t="shared" si="18"/>
        <v>30.490654205607473</v>
      </c>
      <c r="V82" s="16">
        <v>717</v>
      </c>
      <c r="W82" s="29">
        <v>95</v>
      </c>
      <c r="X82" s="28">
        <f t="shared" si="19"/>
        <v>13.249651324965132</v>
      </c>
      <c r="Y82" s="6">
        <v>513</v>
      </c>
      <c r="Z82" s="6">
        <v>205</v>
      </c>
      <c r="AA82" s="49">
        <f t="shared" si="20"/>
        <v>39.96101364522417</v>
      </c>
      <c r="AB82" s="6">
        <v>472</v>
      </c>
      <c r="AC82" s="30">
        <v>55</v>
      </c>
      <c r="AD82" s="28">
        <f t="shared" si="21"/>
        <v>11.652542372881356</v>
      </c>
    </row>
    <row r="83" spans="1:30">
      <c r="A83" s="4">
        <v>78</v>
      </c>
      <c r="B83" s="1" t="s">
        <v>109</v>
      </c>
      <c r="C83" s="1" t="s">
        <v>95</v>
      </c>
      <c r="D83" s="2">
        <v>4</v>
      </c>
      <c r="E83" s="11">
        <v>4227.3999999999996</v>
      </c>
      <c r="F83" s="51">
        <v>242</v>
      </c>
      <c r="G83" s="18">
        <f>(28*179)+(56*224)+(14*251)+(0*270)+(0*270)</f>
        <v>21070</v>
      </c>
      <c r="H83" s="16">
        <f>1.114*E83</f>
        <v>4709.3235999999997</v>
      </c>
      <c r="I83" s="16">
        <f t="shared" si="22"/>
        <v>22.350847650688181</v>
      </c>
      <c r="J83" s="15">
        <v>15970</v>
      </c>
      <c r="K83" s="15">
        <v>6917</v>
      </c>
      <c r="L83" s="48">
        <f t="shared" si="15"/>
        <v>43.312460864120226</v>
      </c>
      <c r="M83" s="15">
        <f t="shared" si="16"/>
        <v>13688.571428571428</v>
      </c>
      <c r="N83" s="26">
        <v>0.98840799999999995</v>
      </c>
      <c r="O83" s="6">
        <v>15929</v>
      </c>
      <c r="P83" s="29">
        <v>-427.08</v>
      </c>
      <c r="Q83" s="42">
        <f t="shared" si="17"/>
        <v>-2.6811475924414592</v>
      </c>
      <c r="R83" s="42">
        <f t="shared" si="14"/>
        <v>-25.031995243129639</v>
      </c>
      <c r="S83" s="10">
        <v>774</v>
      </c>
      <c r="T83" s="10">
        <v>228</v>
      </c>
      <c r="U83" s="47">
        <f t="shared" si="18"/>
        <v>29.45736434108527</v>
      </c>
      <c r="V83" s="16">
        <v>587</v>
      </c>
      <c r="W83" s="29">
        <v>-15</v>
      </c>
      <c r="X83" s="40">
        <f t="shared" si="19"/>
        <v>-2.5553662691652468</v>
      </c>
      <c r="Y83" s="6">
        <v>350</v>
      </c>
      <c r="Z83" s="6">
        <v>62</v>
      </c>
      <c r="AA83" s="28">
        <f t="shared" si="20"/>
        <v>17.714285714285715</v>
      </c>
      <c r="AB83" s="6">
        <v>417</v>
      </c>
      <c r="AC83" s="30">
        <v>-23</v>
      </c>
      <c r="AD83" s="40">
        <f t="shared" si="21"/>
        <v>-5.5155875299760195</v>
      </c>
    </row>
    <row r="84" spans="1:30">
      <c r="A84" s="4">
        <v>79</v>
      </c>
      <c r="B84" s="1" t="s">
        <v>110</v>
      </c>
      <c r="C84" s="1" t="s">
        <v>95</v>
      </c>
      <c r="D84" s="2">
        <v>6</v>
      </c>
      <c r="E84" s="11">
        <v>3960.4</v>
      </c>
      <c r="F84" s="51">
        <v>215</v>
      </c>
      <c r="G84" s="18">
        <f>(22*179)+(44*224)+(11*251)+(0*270)+(0*270)</f>
        <v>16555</v>
      </c>
      <c r="H84" s="16">
        <f>1.114*E84</f>
        <v>4411.8856000000005</v>
      </c>
      <c r="I84" s="16">
        <f t="shared" si="22"/>
        <v>26.649867713681669</v>
      </c>
      <c r="J84" s="15">
        <v>14171</v>
      </c>
      <c r="K84" s="15">
        <v>6091</v>
      </c>
      <c r="L84" s="48">
        <f t="shared" si="15"/>
        <v>42.982146637499113</v>
      </c>
      <c r="M84" s="15">
        <f t="shared" si="16"/>
        <v>12146.571428571429</v>
      </c>
      <c r="N84" s="26">
        <v>0.80171000000000003</v>
      </c>
      <c r="O84" s="6">
        <v>14270</v>
      </c>
      <c r="P84" s="29">
        <v>5111.7700000000004</v>
      </c>
      <c r="Q84" s="41">
        <f t="shared" si="17"/>
        <v>35.821793973370717</v>
      </c>
      <c r="R84" s="42">
        <f t="shared" si="14"/>
        <v>9.1719262596890481</v>
      </c>
      <c r="S84" s="10">
        <v>657</v>
      </c>
      <c r="T84" s="10">
        <v>223</v>
      </c>
      <c r="U84" s="47">
        <f t="shared" si="18"/>
        <v>33.94216133942161</v>
      </c>
      <c r="V84" s="16">
        <v>571</v>
      </c>
      <c r="W84" s="29">
        <v>143</v>
      </c>
      <c r="X84" s="47">
        <f t="shared" si="19"/>
        <v>25.043782837127846</v>
      </c>
      <c r="Y84" s="6">
        <v>415</v>
      </c>
      <c r="Z84" s="6">
        <v>157</v>
      </c>
      <c r="AA84" s="47">
        <f t="shared" si="20"/>
        <v>37.831325301204814</v>
      </c>
      <c r="AB84" s="6">
        <v>363</v>
      </c>
      <c r="AC84" s="30">
        <v>72</v>
      </c>
      <c r="AD84" s="28">
        <f t="shared" si="21"/>
        <v>19.834710743801654</v>
      </c>
    </row>
    <row r="85" spans="1:30">
      <c r="A85" s="4">
        <v>80</v>
      </c>
      <c r="B85" s="1" t="s">
        <v>111</v>
      </c>
      <c r="C85" s="1" t="s">
        <v>95</v>
      </c>
      <c r="D85" s="2">
        <v>8</v>
      </c>
      <c r="E85" s="11">
        <v>4064.4</v>
      </c>
      <c r="F85" s="51">
        <f>269+8</f>
        <v>277</v>
      </c>
      <c r="G85" s="18">
        <f>(27*179)+(55*224)+(13*251)+(0*270)+(0*270)</f>
        <v>20416</v>
      </c>
      <c r="H85" s="16">
        <f>1.114*E85</f>
        <v>4527.7416000000003</v>
      </c>
      <c r="I85" s="16">
        <f t="shared" si="22"/>
        <v>22.177417711598746</v>
      </c>
      <c r="J85" s="15">
        <v>16615</v>
      </c>
      <c r="K85" s="15">
        <v>5702</v>
      </c>
      <c r="L85" s="48">
        <f t="shared" si="15"/>
        <v>34.318386999699065</v>
      </c>
      <c r="M85" s="15">
        <f t="shared" si="16"/>
        <v>14241.428571428572</v>
      </c>
      <c r="N85" s="26">
        <v>0.96740000000000004</v>
      </c>
      <c r="O85" s="6">
        <v>16912</v>
      </c>
      <c r="P85" s="29">
        <v>5256.35</v>
      </c>
      <c r="Q85" s="41">
        <f t="shared" si="17"/>
        <v>31.080593661305585</v>
      </c>
      <c r="R85" s="42">
        <f t="shared" si="14"/>
        <v>8.9031759497068386</v>
      </c>
      <c r="S85" s="10">
        <v>838</v>
      </c>
      <c r="T85" s="10">
        <v>402</v>
      </c>
      <c r="U85" s="47">
        <f t="shared" si="18"/>
        <v>47.971360381861572</v>
      </c>
      <c r="V85" s="16">
        <v>626</v>
      </c>
      <c r="W85" s="29">
        <v>179</v>
      </c>
      <c r="X85" s="47">
        <f t="shared" si="19"/>
        <v>28.594249201277957</v>
      </c>
      <c r="Y85" s="6">
        <v>524</v>
      </c>
      <c r="Z85" s="6">
        <v>187</v>
      </c>
      <c r="AA85" s="47">
        <f t="shared" si="20"/>
        <v>35.68702290076336</v>
      </c>
      <c r="AB85" s="6">
        <v>506</v>
      </c>
      <c r="AC85" s="30">
        <v>127</v>
      </c>
      <c r="AD85" s="47">
        <f t="shared" si="21"/>
        <v>25.098814229249015</v>
      </c>
    </row>
    <row r="86" spans="1:30">
      <c r="A86" s="4">
        <v>81</v>
      </c>
      <c r="B86" s="1" t="s">
        <v>112</v>
      </c>
      <c r="C86" s="1" t="s">
        <v>106</v>
      </c>
      <c r="D86" s="2">
        <v>33</v>
      </c>
      <c r="E86" s="11">
        <v>7876.5</v>
      </c>
      <c r="F86" s="51">
        <v>358</v>
      </c>
      <c r="G86" s="18">
        <f>(18*179)+(75*224)+(51*251)+(0*270)+(0*270)</f>
        <v>32823</v>
      </c>
      <c r="H86" s="16">
        <f>0.957*E86</f>
        <v>7537.8104999999996</v>
      </c>
      <c r="I86" s="16">
        <f t="shared" si="22"/>
        <v>22.965026048807236</v>
      </c>
      <c r="J86" s="15">
        <v>27045</v>
      </c>
      <c r="K86" s="15">
        <v>14159</v>
      </c>
      <c r="L86" s="48">
        <f t="shared" si="15"/>
        <v>52.353484932519876</v>
      </c>
      <c r="M86" s="15">
        <f t="shared" si="16"/>
        <v>23181.428571428569</v>
      </c>
      <c r="N86" s="26">
        <v>0.75204599999999999</v>
      </c>
      <c r="O86" s="6">
        <v>26945</v>
      </c>
      <c r="P86" s="29">
        <v>11889.73</v>
      </c>
      <c r="Q86" s="41">
        <f t="shared" si="17"/>
        <v>44.125923176841717</v>
      </c>
      <c r="R86" s="38">
        <f t="shared" si="14"/>
        <v>21.160897128034481</v>
      </c>
      <c r="S86" s="10">
        <v>1257</v>
      </c>
      <c r="T86" s="10">
        <v>541</v>
      </c>
      <c r="U86" s="47">
        <f t="shared" si="18"/>
        <v>43.038981702466188</v>
      </c>
      <c r="V86" s="16">
        <v>981</v>
      </c>
      <c r="W86" s="29">
        <v>263</v>
      </c>
      <c r="X86" s="47">
        <f t="shared" si="19"/>
        <v>26.809378185524974</v>
      </c>
      <c r="Y86" s="6">
        <v>1487</v>
      </c>
      <c r="Z86" s="6">
        <v>1115</v>
      </c>
      <c r="AA86" s="47">
        <f t="shared" si="20"/>
        <v>74.983187626092814</v>
      </c>
      <c r="AB86" s="6">
        <v>714</v>
      </c>
      <c r="AC86" s="30">
        <v>245</v>
      </c>
      <c r="AD86" s="47">
        <f t="shared" si="21"/>
        <v>34.313725490196077</v>
      </c>
    </row>
    <row r="87" spans="1:30">
      <c r="A87" s="4">
        <v>82</v>
      </c>
      <c r="B87" s="1" t="s">
        <v>113</v>
      </c>
      <c r="C87" s="1" t="s">
        <v>106</v>
      </c>
      <c r="D87" s="2">
        <v>31</v>
      </c>
      <c r="E87" s="11">
        <v>14251</v>
      </c>
      <c r="F87" s="51">
        <v>676</v>
      </c>
      <c r="G87" s="18">
        <f>(19*179)+(131*224)+(102*251)+(0*270)+(0*270)</f>
        <v>58347</v>
      </c>
      <c r="H87" s="16">
        <f>0.957*E87</f>
        <v>13638.207</v>
      </c>
      <c r="I87" s="16">
        <f t="shared" si="22"/>
        <v>23.374307162321969</v>
      </c>
      <c r="J87" s="15">
        <v>49514</v>
      </c>
      <c r="K87" s="15">
        <v>23773</v>
      </c>
      <c r="L87" s="48">
        <f t="shared" si="15"/>
        <v>48.012683281496145</v>
      </c>
      <c r="M87" s="15">
        <f t="shared" si="16"/>
        <v>42440.571428571428</v>
      </c>
      <c r="N87" s="26">
        <v>0.95801800000000004</v>
      </c>
      <c r="O87" s="6">
        <v>49609</v>
      </c>
      <c r="P87" s="29">
        <v>20017.43</v>
      </c>
      <c r="Q87" s="41">
        <f t="shared" si="17"/>
        <v>40.350400129008854</v>
      </c>
      <c r="R87" s="38">
        <f t="shared" si="14"/>
        <v>16.976092966686885</v>
      </c>
      <c r="S87" s="10">
        <v>2363</v>
      </c>
      <c r="T87" s="10">
        <v>812</v>
      </c>
      <c r="U87" s="47">
        <f t="shared" si="18"/>
        <v>34.363097757088447</v>
      </c>
      <c r="V87" s="16">
        <v>1762</v>
      </c>
      <c r="W87" s="29">
        <v>276</v>
      </c>
      <c r="X87" s="28">
        <f t="shared" si="19"/>
        <v>15.664018161180476</v>
      </c>
      <c r="Y87" s="6">
        <v>1312</v>
      </c>
      <c r="Z87" s="6">
        <v>443</v>
      </c>
      <c r="AA87" s="47">
        <f t="shared" si="20"/>
        <v>33.765243902439025</v>
      </c>
      <c r="AB87" s="6">
        <v>1171</v>
      </c>
      <c r="AC87" s="30">
        <v>182</v>
      </c>
      <c r="AD87" s="28">
        <f t="shared" si="21"/>
        <v>15.542271562766866</v>
      </c>
    </row>
    <row r="88" spans="1:30">
      <c r="A88" s="4">
        <v>83</v>
      </c>
      <c r="B88" s="1" t="s">
        <v>114</v>
      </c>
      <c r="C88" s="1" t="s">
        <v>106</v>
      </c>
      <c r="D88" s="2">
        <v>29</v>
      </c>
      <c r="E88" s="11">
        <v>12884.5</v>
      </c>
      <c r="F88" s="51">
        <v>845</v>
      </c>
      <c r="G88" s="18">
        <f>(45*179)+(157*224)+(69*251)+(10*270)+(0*270)</f>
        <v>63242</v>
      </c>
      <c r="H88" s="16">
        <f>0.671*E88</f>
        <v>8645.4994999999999</v>
      </c>
      <c r="I88" s="16">
        <f t="shared" si="22"/>
        <v>13.670502988520289</v>
      </c>
      <c r="J88" s="15">
        <v>48158</v>
      </c>
      <c r="K88" s="15">
        <v>23708</v>
      </c>
      <c r="L88" s="48">
        <f t="shared" si="15"/>
        <v>49.229619170231324</v>
      </c>
      <c r="M88" s="15">
        <f t="shared" si="16"/>
        <v>41278.28571428571</v>
      </c>
      <c r="N88" s="26">
        <v>0.604325</v>
      </c>
      <c r="O88" s="6">
        <v>48453</v>
      </c>
      <c r="P88" s="29">
        <v>20850.439999999999</v>
      </c>
      <c r="Q88" s="41">
        <f t="shared" si="17"/>
        <v>43.032299341630036</v>
      </c>
      <c r="R88" s="48">
        <f t="shared" si="14"/>
        <v>29.361796353109746</v>
      </c>
      <c r="S88" s="10">
        <v>2888</v>
      </c>
      <c r="T88" s="10">
        <v>1361</v>
      </c>
      <c r="U88" s="47">
        <f t="shared" si="18"/>
        <v>47.126038781163437</v>
      </c>
      <c r="V88" s="16">
        <v>2230</v>
      </c>
      <c r="W88" s="29">
        <v>815</v>
      </c>
      <c r="X88" s="47">
        <f t="shared" si="19"/>
        <v>36.54708520179372</v>
      </c>
      <c r="Y88" s="6">
        <v>1783</v>
      </c>
      <c r="Z88" s="6">
        <v>854</v>
      </c>
      <c r="AA88" s="47">
        <f t="shared" si="20"/>
        <v>47.896803140773983</v>
      </c>
      <c r="AB88" s="6">
        <v>1603</v>
      </c>
      <c r="AC88" s="30">
        <v>512</v>
      </c>
      <c r="AD88" s="47">
        <f t="shared" si="21"/>
        <v>31.940112289457264</v>
      </c>
    </row>
    <row r="89" spans="1:30">
      <c r="A89" s="4">
        <v>84</v>
      </c>
      <c r="B89" s="1" t="s">
        <v>115</v>
      </c>
      <c r="C89" s="1" t="s">
        <v>106</v>
      </c>
      <c r="D89" s="2">
        <v>37</v>
      </c>
      <c r="E89" s="11">
        <v>12905.3</v>
      </c>
      <c r="F89" s="51">
        <f>823+17</f>
        <v>840</v>
      </c>
      <c r="G89" s="18">
        <f>(45*179)+(157*224)+(69*251)+(10*270)+(0*270)</f>
        <v>63242</v>
      </c>
      <c r="H89" s="16">
        <f>0.671*E89</f>
        <v>8659.4562999999998</v>
      </c>
      <c r="I89" s="16">
        <f t="shared" si="22"/>
        <v>13.692571866797381</v>
      </c>
      <c r="J89" s="15">
        <v>49680</v>
      </c>
      <c r="K89" s="15">
        <v>22825</v>
      </c>
      <c r="L89" s="48">
        <f t="shared" si="15"/>
        <v>45.944041867954908</v>
      </c>
      <c r="M89" s="15">
        <f t="shared" si="16"/>
        <v>42582.857142857138</v>
      </c>
      <c r="N89" s="26">
        <v>0.65091200000000005</v>
      </c>
      <c r="O89" s="6">
        <v>49557</v>
      </c>
      <c r="P89" s="29">
        <v>22018.639999999999</v>
      </c>
      <c r="Q89" s="41">
        <f t="shared" si="17"/>
        <v>44.430938111669391</v>
      </c>
      <c r="R89" s="48">
        <f t="shared" si="14"/>
        <v>30.738366244872012</v>
      </c>
      <c r="S89" s="10">
        <v>2866</v>
      </c>
      <c r="T89" s="10">
        <v>1239</v>
      </c>
      <c r="U89" s="47">
        <f t="shared" si="18"/>
        <v>43.23098394975576</v>
      </c>
      <c r="V89" s="16">
        <v>2237</v>
      </c>
      <c r="W89" s="29">
        <v>811</v>
      </c>
      <c r="X89" s="47">
        <f t="shared" si="19"/>
        <v>36.253911488600806</v>
      </c>
      <c r="Y89" s="6">
        <v>1457</v>
      </c>
      <c r="Z89" s="6">
        <v>579</v>
      </c>
      <c r="AA89" s="47">
        <f t="shared" si="20"/>
        <v>39.739190116678103</v>
      </c>
      <c r="AB89" s="6">
        <v>1406</v>
      </c>
      <c r="AC89" s="30">
        <v>452</v>
      </c>
      <c r="AD89" s="47">
        <f t="shared" si="21"/>
        <v>32.147937411095306</v>
      </c>
    </row>
    <row r="90" spans="1:30">
      <c r="A90" s="4">
        <v>85</v>
      </c>
      <c r="B90" s="1" t="s">
        <v>116</v>
      </c>
      <c r="C90" s="1" t="s">
        <v>106</v>
      </c>
      <c r="D90" s="2">
        <v>39</v>
      </c>
      <c r="E90" s="11">
        <v>24530.1</v>
      </c>
      <c r="F90" s="51">
        <v>1216</v>
      </c>
      <c r="G90" s="18">
        <f>(22*179)+(182*224)+(173*251)+(19*270)+(17*270)</f>
        <v>97849</v>
      </c>
      <c r="H90" s="16">
        <f>0.957*E90</f>
        <v>23475.305699999997</v>
      </c>
      <c r="I90" s="16">
        <f t="shared" si="22"/>
        <v>23.991359850381709</v>
      </c>
      <c r="J90" s="15">
        <v>89035</v>
      </c>
      <c r="K90" s="15">
        <v>42688</v>
      </c>
      <c r="L90" s="48">
        <f t="shared" si="15"/>
        <v>47.945190093783346</v>
      </c>
      <c r="M90" s="15">
        <f t="shared" si="16"/>
        <v>76315.714285714275</v>
      </c>
      <c r="N90" s="26">
        <v>0.93692900000000001</v>
      </c>
      <c r="O90" s="6">
        <v>88546</v>
      </c>
      <c r="P90" s="29">
        <v>38181.25</v>
      </c>
      <c r="Q90" s="41">
        <f t="shared" si="17"/>
        <v>43.120242585774626</v>
      </c>
      <c r="R90" s="38">
        <f t="shared" si="14"/>
        <v>19.128882735392917</v>
      </c>
      <c r="S90" s="10">
        <v>4173</v>
      </c>
      <c r="T90" s="10">
        <v>1284</v>
      </c>
      <c r="U90" s="47">
        <f t="shared" si="18"/>
        <v>30.76923076923077</v>
      </c>
      <c r="V90" s="16">
        <v>3840</v>
      </c>
      <c r="W90" s="29">
        <v>998</v>
      </c>
      <c r="X90" s="47">
        <f t="shared" si="19"/>
        <v>25.989583333333336</v>
      </c>
      <c r="Y90" s="6">
        <v>2294</v>
      </c>
      <c r="Z90" s="6">
        <v>787</v>
      </c>
      <c r="AA90" s="47">
        <f t="shared" si="20"/>
        <v>34.306887532693985</v>
      </c>
      <c r="AB90" s="6">
        <v>1900</v>
      </c>
      <c r="AC90" s="30">
        <v>306</v>
      </c>
      <c r="AD90" s="28">
        <f t="shared" si="21"/>
        <v>16.105263157894736</v>
      </c>
    </row>
    <row r="91" spans="1:30">
      <c r="A91" s="4">
        <v>86</v>
      </c>
      <c r="B91" s="1" t="s">
        <v>117</v>
      </c>
      <c r="C91" s="1" t="s">
        <v>95</v>
      </c>
      <c r="D91" s="2">
        <v>12</v>
      </c>
      <c r="E91" s="11">
        <v>13425.2</v>
      </c>
      <c r="F91" s="51">
        <f>825+18</f>
        <v>843</v>
      </c>
      <c r="G91" s="18">
        <f>(50*179)+(102*224)+(96*251)+(30*270)+(0*270)</f>
        <v>63994</v>
      </c>
      <c r="H91" s="16">
        <f>0.671*E91</f>
        <v>9008.3092000000015</v>
      </c>
      <c r="I91" s="16">
        <f t="shared" si="22"/>
        <v>14.07680282526487</v>
      </c>
      <c r="J91" s="15">
        <v>50218</v>
      </c>
      <c r="K91" s="15">
        <v>25659</v>
      </c>
      <c r="L91" s="48">
        <f t="shared" si="15"/>
        <v>51.095224819785734</v>
      </c>
      <c r="M91" s="15">
        <f t="shared" si="16"/>
        <v>43044</v>
      </c>
      <c r="N91" s="26">
        <v>0.767177</v>
      </c>
      <c r="O91" s="6">
        <v>50555</v>
      </c>
      <c r="P91" s="29">
        <v>22953.3</v>
      </c>
      <c r="Q91" s="41">
        <f t="shared" si="17"/>
        <v>45.402630798140635</v>
      </c>
      <c r="R91" s="48">
        <f t="shared" si="14"/>
        <v>31.325827972875764</v>
      </c>
      <c r="S91" s="10">
        <v>2826</v>
      </c>
      <c r="T91" s="10">
        <v>1299</v>
      </c>
      <c r="U91" s="47">
        <f t="shared" si="18"/>
        <v>45.966029723991504</v>
      </c>
      <c r="V91" s="16">
        <v>2174</v>
      </c>
      <c r="W91" s="29">
        <v>661</v>
      </c>
      <c r="X91" s="47">
        <f t="shared" si="19"/>
        <v>30.404783808647657</v>
      </c>
      <c r="Y91" s="6">
        <v>1663</v>
      </c>
      <c r="Z91" s="6">
        <v>692</v>
      </c>
      <c r="AA91" s="47">
        <f t="shared" si="20"/>
        <v>41.611545399879738</v>
      </c>
      <c r="AB91" s="6">
        <v>1552</v>
      </c>
      <c r="AC91" s="30">
        <v>475</v>
      </c>
      <c r="AD91" s="47">
        <f t="shared" si="21"/>
        <v>30.605670103092784</v>
      </c>
    </row>
    <row r="92" spans="1:30">
      <c r="A92" s="4">
        <v>87</v>
      </c>
      <c r="B92" s="1" t="s">
        <v>118</v>
      </c>
      <c r="C92" s="1" t="s">
        <v>1</v>
      </c>
      <c r="D92" s="2">
        <v>80</v>
      </c>
      <c r="E92" s="11">
        <v>9356.32</v>
      </c>
      <c r="F92" s="51">
        <v>596</v>
      </c>
      <c r="G92" s="18">
        <f>(35*179)+(106*224)+(52*251)+(10*270)+(0*270)</f>
        <v>45761</v>
      </c>
      <c r="H92" s="16">
        <f>0.671*E92</f>
        <v>6278.0907200000001</v>
      </c>
      <c r="I92" s="16">
        <f t="shared" si="22"/>
        <v>13.719304036188021</v>
      </c>
      <c r="J92" s="15">
        <v>33970</v>
      </c>
      <c r="K92" s="15">
        <v>17529</v>
      </c>
      <c r="L92" s="48">
        <f t="shared" si="15"/>
        <v>51.601413011480723</v>
      </c>
      <c r="M92" s="15">
        <f t="shared" si="16"/>
        <v>29117.142857142855</v>
      </c>
      <c r="N92" s="26">
        <v>0.66330599999999995</v>
      </c>
      <c r="O92" s="6">
        <v>30088</v>
      </c>
      <c r="P92" s="29">
        <v>11296.32</v>
      </c>
      <c r="Q92" s="41">
        <f t="shared" si="17"/>
        <v>37.54427014091997</v>
      </c>
      <c r="R92" s="48">
        <f t="shared" si="14"/>
        <v>23.824966104731949</v>
      </c>
      <c r="S92" s="10">
        <v>1828</v>
      </c>
      <c r="T92" s="10">
        <v>696</v>
      </c>
      <c r="U92" s="47">
        <f t="shared" si="18"/>
        <v>38.074398249452955</v>
      </c>
      <c r="V92" s="16">
        <v>1402</v>
      </c>
      <c r="W92" s="29">
        <v>278</v>
      </c>
      <c r="X92" s="28">
        <f t="shared" si="19"/>
        <v>19.828815977175463</v>
      </c>
      <c r="Y92" s="6">
        <v>1037</v>
      </c>
      <c r="Z92" s="6">
        <v>411</v>
      </c>
      <c r="AA92" s="47">
        <f t="shared" si="20"/>
        <v>39.633558341369337</v>
      </c>
      <c r="AB92" s="6">
        <v>921</v>
      </c>
      <c r="AC92" s="30">
        <v>169</v>
      </c>
      <c r="AD92" s="28">
        <f t="shared" si="21"/>
        <v>18.349619978284473</v>
      </c>
    </row>
    <row r="93" spans="1:30">
      <c r="A93" s="4">
        <v>88</v>
      </c>
      <c r="B93" s="1" t="s">
        <v>119</v>
      </c>
      <c r="C93" s="1" t="s">
        <v>1</v>
      </c>
      <c r="D93" s="2">
        <v>84</v>
      </c>
      <c r="E93" s="11">
        <v>24534.93</v>
      </c>
      <c r="F93" s="51">
        <f>1206+17</f>
        <v>1223</v>
      </c>
      <c r="G93" s="18">
        <f>(22*179)+(186*224)+(170*251)+(19*270)+(17*270)</f>
        <v>97992</v>
      </c>
      <c r="H93" s="16">
        <f>0.957*E93</f>
        <v>23479.92801</v>
      </c>
      <c r="I93" s="16">
        <f t="shared" si="22"/>
        <v>23.961066219691403</v>
      </c>
      <c r="J93" s="15">
        <v>84727</v>
      </c>
      <c r="K93" s="15">
        <v>38964</v>
      </c>
      <c r="L93" s="48">
        <f t="shared" si="15"/>
        <v>45.987701677151321</v>
      </c>
      <c r="M93" s="15">
        <f t="shared" si="16"/>
        <v>72623.142857142855</v>
      </c>
      <c r="N93" s="26">
        <v>0.84284899999999996</v>
      </c>
      <c r="O93" s="6">
        <v>84645</v>
      </c>
      <c r="P93" s="29">
        <v>32811.519999999997</v>
      </c>
      <c r="Q93" s="41">
        <f t="shared" si="17"/>
        <v>38.763683619823965</v>
      </c>
      <c r="R93" s="38">
        <f t="shared" si="14"/>
        <v>14.802617400132561</v>
      </c>
      <c r="S93" s="10">
        <v>4086</v>
      </c>
      <c r="T93" s="10">
        <v>1529</v>
      </c>
      <c r="U93" s="47">
        <f t="shared" si="18"/>
        <v>37.420460107684775</v>
      </c>
      <c r="V93" s="16">
        <v>3311</v>
      </c>
      <c r="W93" s="29">
        <v>720</v>
      </c>
      <c r="X93" s="47">
        <f t="shared" si="19"/>
        <v>21.745696164300817</v>
      </c>
      <c r="Y93" s="6">
        <v>2165</v>
      </c>
      <c r="Z93" s="6">
        <v>786</v>
      </c>
      <c r="AA93" s="47">
        <f t="shared" si="20"/>
        <v>36.304849884526561</v>
      </c>
      <c r="AB93" s="6">
        <v>2017</v>
      </c>
      <c r="AC93" s="30">
        <v>400</v>
      </c>
      <c r="AD93" s="28">
        <f t="shared" si="21"/>
        <v>19.831432821021316</v>
      </c>
    </row>
    <row r="94" spans="1:30">
      <c r="A94" s="4">
        <v>89</v>
      </c>
      <c r="B94" s="1" t="s">
        <v>120</v>
      </c>
      <c r="C94" s="1" t="s">
        <v>1</v>
      </c>
      <c r="D94" s="2" t="s">
        <v>121</v>
      </c>
      <c r="E94" s="12">
        <v>12750.36</v>
      </c>
      <c r="F94" s="51">
        <f>793+8</f>
        <v>801</v>
      </c>
      <c r="G94" s="18">
        <f>(46*179)+(156*224)+(69*251)+(10*270)+(0*270)</f>
        <v>63197</v>
      </c>
      <c r="H94" s="16">
        <f>0.671*E94</f>
        <v>8555.4915600000004</v>
      </c>
      <c r="I94" s="16">
        <f t="shared" si="22"/>
        <v>13.53781280756998</v>
      </c>
      <c r="J94" s="15">
        <v>50197</v>
      </c>
      <c r="K94" s="15">
        <v>25630</v>
      </c>
      <c r="L94" s="48">
        <f t="shared" si="15"/>
        <v>51.058828216825702</v>
      </c>
      <c r="M94" s="15">
        <f t="shared" si="16"/>
        <v>43026</v>
      </c>
      <c r="N94" s="26">
        <v>0.77656000000000003</v>
      </c>
      <c r="O94" s="6">
        <v>51314</v>
      </c>
      <c r="P94" s="29">
        <v>24391.37</v>
      </c>
      <c r="Q94" s="41">
        <f t="shared" si="17"/>
        <v>47.533558093307867</v>
      </c>
      <c r="R94" s="48">
        <f t="shared" si="14"/>
        <v>33.99574528573789</v>
      </c>
      <c r="S94" s="10">
        <v>3081</v>
      </c>
      <c r="T94" s="10">
        <v>1545</v>
      </c>
      <c r="U94" s="47">
        <f t="shared" si="18"/>
        <v>50.146056475170404</v>
      </c>
      <c r="V94" s="16">
        <v>2541</v>
      </c>
      <c r="W94" s="29">
        <v>1091</v>
      </c>
      <c r="X94" s="47">
        <f t="shared" si="19"/>
        <v>42.935852026761118</v>
      </c>
      <c r="Y94" s="6">
        <v>1316</v>
      </c>
      <c r="Z94" s="6">
        <v>577</v>
      </c>
      <c r="AA94" s="47">
        <f t="shared" si="20"/>
        <v>43.844984802431611</v>
      </c>
      <c r="AB94" s="6">
        <v>1047</v>
      </c>
      <c r="AC94" s="30">
        <v>175</v>
      </c>
      <c r="AD94" s="28">
        <f t="shared" si="21"/>
        <v>16.714422158548231</v>
      </c>
    </row>
    <row r="95" spans="1:30">
      <c r="A95" s="4"/>
      <c r="B95" s="1"/>
      <c r="C95" s="1"/>
      <c r="D95" s="2"/>
      <c r="E95" s="10">
        <f>SUM(E6:E94)</f>
        <v>1032097.71</v>
      </c>
      <c r="F95" s="5">
        <f>SUM(F6:F94)</f>
        <v>55121</v>
      </c>
      <c r="G95" s="16">
        <f t="shared" ref="G95:H95" si="23">SUM(G6:G94)</f>
        <v>4774134</v>
      </c>
      <c r="H95" s="16">
        <f t="shared" si="23"/>
        <v>973703.30603000009</v>
      </c>
      <c r="I95" s="19"/>
      <c r="J95" s="21">
        <f t="shared" ref="J95:K95" si="24">SUM(J6:J94)</f>
        <v>4051239</v>
      </c>
      <c r="K95" s="21">
        <f t="shared" si="24"/>
        <v>1859822</v>
      </c>
      <c r="L95" s="21">
        <f>K95/J95%</f>
        <v>45.907486573860488</v>
      </c>
      <c r="M95" s="10"/>
      <c r="N95" s="26"/>
      <c r="O95" s="16">
        <f t="shared" ref="O95:P95" si="25">SUM(O6:O94)</f>
        <v>4129747</v>
      </c>
      <c r="P95" s="16">
        <f t="shared" si="25"/>
        <v>1621546.8700000003</v>
      </c>
      <c r="Q95" s="20">
        <f>P95/O95%</f>
        <v>39.265041417791458</v>
      </c>
      <c r="R95" s="16">
        <f t="shared" si="14"/>
        <v>39.265041417791458</v>
      </c>
      <c r="S95" s="21">
        <f t="shared" ref="S95" si="26">SUM(S6:S94)</f>
        <v>192671</v>
      </c>
      <c r="T95" s="10">
        <f>SUM(T6:T94)</f>
        <v>72521</v>
      </c>
      <c r="U95" s="15">
        <f>T95/S95%</f>
        <v>37.639810869305705</v>
      </c>
      <c r="V95" s="16">
        <f t="shared" ref="V95" si="27">SUM(V6:V94)</f>
        <v>149811</v>
      </c>
      <c r="W95" s="31">
        <f>SUM(W6:W94)</f>
        <v>32180.5</v>
      </c>
      <c r="X95" s="29">
        <f>W95/V95%</f>
        <v>21.48073238947741</v>
      </c>
      <c r="Y95" s="21">
        <f t="shared" ref="Y95:AB95" si="28">SUM(Y6:Y94)</f>
        <v>101499</v>
      </c>
      <c r="Z95" s="10">
        <f>SUM(Z6:Z94)</f>
        <v>36869</v>
      </c>
      <c r="AA95" s="15">
        <f>Z95/Y95%</f>
        <v>36.324495807840471</v>
      </c>
      <c r="AB95" s="16">
        <f t="shared" si="28"/>
        <v>95650</v>
      </c>
      <c r="AC95" s="31">
        <f>SUM(AC6:AC94)</f>
        <v>21642.3</v>
      </c>
      <c r="AD95" s="29">
        <f>AC95/AB95%</f>
        <v>22.626555148980657</v>
      </c>
    </row>
    <row r="98" spans="12:16">
      <c r="L98" s="61" t="s">
        <v>153</v>
      </c>
      <c r="M98" s="62"/>
      <c r="N98" s="62"/>
      <c r="O98" s="62"/>
      <c r="P98" s="62"/>
    </row>
    <row r="100" spans="12:16">
      <c r="L100" s="44" t="s">
        <v>152</v>
      </c>
      <c r="M100" s="44"/>
      <c r="N100" s="44"/>
      <c r="O100" s="44"/>
      <c r="P100" s="44"/>
    </row>
    <row r="102" spans="12:16">
      <c r="L102" s="45" t="s">
        <v>151</v>
      </c>
      <c r="M102" s="46"/>
      <c r="N102" s="46"/>
      <c r="O102" s="46"/>
      <c r="P102" s="46"/>
    </row>
  </sheetData>
  <mergeCells count="9">
    <mergeCell ref="Y4:AA4"/>
    <mergeCell ref="AB4:AD4"/>
    <mergeCell ref="Y3:AD3"/>
    <mergeCell ref="O4:Q4"/>
    <mergeCell ref="J4:L4"/>
    <mergeCell ref="J3:R3"/>
    <mergeCell ref="S3:X3"/>
    <mergeCell ref="S4:U4"/>
    <mergeCell ref="V4:X4"/>
  </mergeCells>
  <pageMargins left="0.70866141732283472" right="0.70866141732283472" top="0.74803149606299213" bottom="0.74803149606299213" header="0.31496062992125984" footer="0.31496062992125984"/>
  <pageSetup paperSize="9" scale="11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medvedeva</cp:lastModifiedBy>
  <cp:lastPrinted>2012-12-18T10:14:35Z</cp:lastPrinted>
  <dcterms:created xsi:type="dcterms:W3CDTF">2012-11-20T12:46:02Z</dcterms:created>
  <dcterms:modified xsi:type="dcterms:W3CDTF">2012-12-18T12:43:54Z</dcterms:modified>
</cp:coreProperties>
</file>